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P7KeTJHwMTKX2KdYbluGmTEo6em9NVFnVGi2OQEJn8diwgyom1JJpJll070hiL/ezPpl0WJKtbheoDj3WsAPWg==" workbookSaltValue="f1nyoMx7//YkHGBVDmi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G14" i="14"/>
  <c r="W32" i="20"/>
  <c r="AJ32" i="20"/>
  <c r="G30" i="14"/>
  <c r="G23" i="14"/>
  <c r="U18" i="11"/>
  <c r="AX32" i="20"/>
  <c r="Y32" i="20"/>
  <c r="L32" i="20"/>
  <c r="AG32" i="20"/>
  <c r="H32" i="20"/>
  <c r="T32" i="21"/>
  <c r="F32" i="20"/>
  <c r="AF32" i="20"/>
  <c r="G26" i="14"/>
  <c r="S32" i="20"/>
  <c r="K32" i="20"/>
  <c r="AQ32" i="21"/>
  <c r="O17" i="11"/>
  <c r="AZ32" i="20"/>
  <c r="O18" i="11"/>
  <c r="R32" i="20"/>
  <c r="E23" i="12" l="1"/>
  <c r="BF17" i="8"/>
  <c r="L17" i="14"/>
  <c r="BF16" i="8"/>
  <c r="T31" i="8"/>
  <c r="F14" i="7"/>
  <c r="BG17" i="13"/>
  <c r="R8" i="9"/>
  <c r="S10" i="14" s="1"/>
  <c r="V10" i="14" s="1"/>
  <c r="BG9" i="11"/>
  <c r="R10" i="21"/>
  <c r="R14" i="21" s="1"/>
  <c r="BH22" i="16"/>
  <c r="BJ11" i="11"/>
  <c r="BH20" i="16"/>
  <c r="AP21" i="20"/>
  <c r="AP10" i="21"/>
  <c r="AZ18" i="11"/>
  <c r="BK11" i="11"/>
  <c r="V12" i="21"/>
  <c r="AZ19" i="11"/>
  <c r="BK29" i="11"/>
  <c r="BG22" i="11"/>
  <c r="BG20" i="11"/>
  <c r="BF18" i="11"/>
  <c r="BF28" i="11"/>
  <c r="Q18" i="20"/>
  <c r="Q23" i="20" s="1"/>
  <c r="BH16" i="16"/>
  <c r="BG25" i="11"/>
  <c r="BF13" i="11"/>
  <c r="V16" i="1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BF23" i="13"/>
  <c r="BJ20" i="11"/>
  <c r="AZ13" i="11"/>
  <c r="R28" i="14"/>
  <c r="R18" i="14"/>
  <c r="S28" i="14"/>
  <c r="V28" i="14" s="1"/>
  <c r="S21" i="14"/>
  <c r="V21" i="14" s="1"/>
  <c r="BH9" i="16"/>
  <c r="AP17" i="20"/>
  <c r="BJ22" i="11"/>
  <c r="BG10" i="11"/>
  <c r="V11" i="16"/>
  <c r="V25" i="11"/>
  <c r="BF10" i="11"/>
  <c r="BL19" i="11"/>
  <c r="BJ18" i="11"/>
  <c r="BM17" i="11"/>
  <c r="BF21" i="11"/>
  <c r="BF17" i="11"/>
  <c r="BL12" i="11"/>
  <c r="BK21" i="11"/>
  <c r="BI25" i="11"/>
  <c r="V13" i="11"/>
  <c r="BI19" i="11"/>
  <c r="AP22" i="20"/>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BM12" i="11"/>
  <c r="BJ16" i="11"/>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J17" i="11"/>
  <c r="BL17" i="11"/>
  <c r="X12" i="17"/>
  <c r="L12" i="2"/>
  <c r="L20" i="2"/>
  <c r="V25" i="16"/>
  <c r="V11" i="11"/>
  <c r="V9" i="11"/>
  <c r="AP16" i="20"/>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V9" i="16"/>
  <c r="X13" i="16"/>
  <c r="BH22" i="11"/>
  <c r="X22" i="16"/>
  <c r="X10" i="21"/>
  <c r="V10"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E32" i="12"/>
  <c r="AS32" i="11"/>
  <c r="I32" i="17"/>
  <c r="AP32" i="17"/>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<sst xmlns="http://schemas.openxmlformats.org/spreadsheetml/2006/main" count="2668" uniqueCount="1184">
  <si>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</si>
  <si>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</si>
  <si>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</si>
  <si>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</si>
  <si>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</si>
  <si>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</si>
  <si>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</si>
  <si>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</si>
  <si>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</si>
  <si>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</si>
  <si>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</si>
  <si>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</si>
  <si>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</si>
  <si>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</si>
  <si>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</si>
  <si>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</si>
  <si>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</si>
  <si>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</si>
  <si>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</si>
  <si>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</si>
  <si>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</si>
  <si>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</si>
  <si>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</si>
  <si>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</si>
  <si>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</si>
  <si>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</si>
  <si>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</si>
  <si>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</si>
  <si>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</si>
  <si>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</si>
  <si>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</si>
  <si>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</si>
  <si>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</si>
  <si>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</si>
  <si>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</si>
  <si>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</si>
  <si>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</si>
  <si>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</si>
  <si>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</si>
  <si>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</si>
  <si>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</si>
  <si>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</si>
  <si>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</si>
  <si>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</si>
  <si>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</si>
  <si>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</si>
  <si>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</si>
  <si>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</si>
  <si>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</si>
  <si>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</si>
  <si>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</si>
  <si>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</si>
  <si>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</si>
  <si>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</si>
  <si>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</si>
  <si>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</si>
  <si>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</si>
  <si>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</si>
  <si>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</si>
  <si>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</si>
  <si>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</si>
  <si>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</si>
  <si>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</si>
  <si>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</si>
  <si>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</si>
  <si>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</si>
  <si>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</si>
  <si>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</si>
  <si>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</si>
  <si>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</si>
  <si>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</si>
  <si>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</si>
  <si>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</si>
  <si>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</si>
  <si>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</si>
  <si>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</si>
  <si>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</si>
  <si>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</si>
  <si>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</si>
  <si>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</si>
  <si>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</si>
  <si>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</si>
  <si>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</si>
  <si>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</si>
  <si>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</si>
  <si>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</si>
  <si>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</si>
  <si>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</si>
  <si>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</si>
  <si>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</si>
  <si>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</si>
  <si>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</si>
  <si>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</si>
  <si>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</si>
  <si>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</si>
  <si>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</si>
  <si>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</si>
  <si>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</si>
  <si>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</si>
  <si>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</si>
  <si>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</si>
  <si>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</si>
  <si>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</si>
  <si>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</si>
  <si>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</si>
  <si>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</si>
  <si>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</si>
  <si>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</si>
  <si>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</si>
  <si>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</si>
  <si>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</si>
  <si>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</si>
  <si>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</si>
  <si>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</si>
  <si>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</si>
  <si>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</si>
  <si>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</si>
  <si>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</si>
  <si>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</si>
  <si>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</si>
  <si>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</si>
  <si>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</si>
  <si>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</si>
  <si>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</si>
  <si>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</si>
  <si>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</si>
  <si>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</si>
  <si>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</si>
  <si>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</si>
  <si>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</si>
  <si>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</si>
  <si>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</si>
  <si>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</si>
  <si>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</si>
  <si>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</si>
  <si>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</si>
  <si>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</si>
  <si>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</si>
  <si>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</si>
  <si>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</si>
  <si>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</si>
  <si>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</si>
  <si>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</si>
  <si>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</si>
  <si>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</si>
  <si>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</si>
  <si>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</si>
  <si>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</si>
  <si>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</si>
  <si>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</si>
  <si>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</si>
  <si>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</si>
  <si>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</si>
  <si>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</si>
  <si>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</si>
  <si>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</si>
  <si>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</si>
  <si>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</si>
  <si>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</si>
  <si>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</si>
  <si>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</si>
  <si>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</si>
  <si>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</si>
  <si>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</si>
  <si>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</si>
  <si>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</si>
  <si>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</si>
  <si>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</si>
  <si>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</si>
  <si>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</si>
  <si>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</si>
  <si>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</si>
  <si>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</si>
  <si>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</si>
  <si>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</si>
  <si>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</si>
  <si>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</si>
  <si>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</si>
  <si>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</si>
  <si>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</si>
  <si>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</si>
  <si>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</si>
  <si>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</si>
  <si>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</si>
  <si>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</si>
  <si>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</si>
  <si>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</si>
  <si>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</si>
  <si>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</si>
  <si>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</si>
  <si>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</si>
  <si>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</si>
  <si>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</si>
  <si>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</si>
  <si>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</si>
  <si>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</si>
  <si>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</si>
  <si>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</si>
  <si>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</si>
  <si>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</si>
  <si>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</si>
  <si>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</si>
  <si>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</si>
  <si>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</si>
  <si>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</si>
  <si>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</si>
  <si>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</si>
  <si>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</si>
  <si>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</si>
  <si>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</si>
  <si>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</si>
  <si>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</si>
  <si>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</si>
  <si>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</si>
  <si>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</si>
  <si>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</si>
  <si>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</si>
  <si>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</si>
  <si>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</si>
  <si>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</si>
  <si>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</si>
  <si>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</si>
  <si>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</si>
  <si>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</si>
  <si>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</si>
  <si>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</si>
  <si>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</si>
  <si>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</si>
  <si>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</si>
  <si>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</si>
  <si>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</si>
  <si>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</si>
  <si>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</si>
  <si>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</si>
  <si>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</si>
  <si>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</si>
  <si>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</si>
  <si>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</si>
  <si>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</si>
  <si>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</si>
  <si>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</si>
  <si>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</si>
  <si>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</si>
  <si>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</si>
  <si>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</si>
  <si>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</si>
  <si>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</si>
  <si>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</si>
  <si>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</si>
  <si>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</si>
  <si>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</si>
  <si>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</si>
  <si>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</si>
  <si>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</si>
  <si>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</si>
  <si>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</si>
  <si>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</si>
  <si>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</si>
  <si>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</si>
  <si>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</si>
  <si>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</si>
  <si>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</si>
  <si>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</si>
  <si>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</si>
  <si>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</si>
  <si>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</si>
  <si>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</si>
  <si>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</si>
  <si>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</si>
  <si>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</si>
  <si>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</si>
  <si>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</si>
  <si>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</si>
  <si>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</si>
  <si>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</si>
  <si>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</si>
  <si>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</si>
  <si>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</si>
  <si>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</si>
  <si>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</si>
  <si>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</si>
  <si>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</si>
  <si>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</si>
  <si>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</si>
  <si>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</si>
  <si>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</si>
  <si>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</si>
  <si>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</si>
  <si>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</si>
  <si>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</si>
  <si>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</si>
  <si>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</si>
  <si>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</si>
  <si>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</si>
  <si>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</si>
  <si>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</si>
  <si>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</si>
  <si>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</si>
  <si>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</si>
  <si>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</si>
  <si>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</si>
  <si>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</si>
  <si>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</si>
  <si>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</si>
  <si>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</si>
  <si>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</si>
  <si>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</si>
  <si>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</si>
  <si>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</si>
  <si>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</si>
  <si>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</si>
  <si>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</si>
  <si>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</si>
  <si>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</si>
  <si>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</si>
  <si>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</si>
  <si>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</si>
  <si>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</si>
  <si>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</si>
  <si>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</si>
  <si>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</si>
  <si>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</si>
  <si>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</si>
  <si>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</si>
  <si>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</si>
  <si>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</si>
  <si>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</si>
  <si>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</si>
  <si>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</si>
  <si>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</si>
  <si>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</si>
  <si>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</si>
  <si>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</si>
  <si>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</si>
  <si>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</si>
  <si>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</si>
  <si>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</si>
  <si>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</si>
  <si>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</si>
  <si>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</si>
  <si>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</si>
  <si>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</si>
  <si>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</si>
  <si>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</si>
  <si>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</si>
  <si>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</si>
  <si>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</si>
  <si>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</si>
  <si>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</si>
  <si>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</si>
  <si>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</si>
  <si>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</si>
  <si>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</si>
  <si>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</si>
  <si>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</si>
  <si>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</si>
  <si>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</si>
  <si>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</si>
  <si>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</si>
  <si>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</si>
  <si>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</si>
  <si>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</si>
  <si>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</si>
  <si>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</si>
  <si>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</si>
  <si>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</si>
  <si>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</si>
  <si>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</si>
  <si>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</si>
  <si>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</si>
  <si>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</si>
  <si>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</si>
  <si>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</si>
  <si>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</si>
  <si>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</si>
  <si>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</si>
  <si>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</si>
  <si>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</si>
  <si>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</si>
  <si>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</si>
  <si>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</si>
  <si>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</si>
  <si>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</si>
  <si>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</si>
  <si>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</si>
  <si>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</si>
  <si>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</si>
  <si>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</si>
  <si>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</si>
  <si>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</si>
  <si>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</si>
  <si>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</si>
  <si>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</si>
  <si>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</si>
  <si>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</si>
  <si>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</si>
  <si>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</si>
  <si>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</si>
  <si>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</si>
  <si>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</si>
  <si>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</si>
  <si>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</si>
  <si>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</si>
  <si>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</si>
  <si>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</si>
  <si>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</si>
  <si>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</si>
  <si>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</si>
  <si>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</si>
  <si>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</si>
  <si>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</si>
  <si>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</si>
  <si>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</si>
  <si>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</si>
  <si>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</si>
  <si>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</si>
  <si>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</si>
  <si>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</si>
  <si>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</si>
  <si>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</si>
  <si>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</si>
  <si>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</si>
  <si>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</si>
  <si>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</si>
  <si>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</si>
  <si>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</si>
  <si>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</si>
  <si>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</si>
  <si>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</si>
  <si>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</si>
  <si>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</si>
  <si>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</si>
  <si>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</si>
  <si>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</si>
  <si>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</si>
  <si>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</si>
  <si>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</si>
  <si>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</si>
  <si>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</si>
  <si>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</si>
  <si>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</si>
  <si>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</si>
  <si>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</si>
  <si>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</si>
  <si>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</si>
  <si>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</si>
  <si>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</si>
  <si>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</si>
  <si>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</si>
  <si>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</si>
  <si>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</si>
  <si>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</si>
  <si>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</si>
  <si>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</si>
  <si>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</si>
  <si>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</si>
  <si>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</si>
  <si>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</si>
  <si>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</si>
  <si>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</si>
  <si>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</si>
  <si>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</si>
  <si>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</si>
  <si>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</si>
  <si>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</si>
  <si>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</si>
  <si>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</si>
  <si>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</si>
  <si>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</si>
  <si>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</si>
  <si>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</si>
  <si>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</si>
  <si>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</si>
  <si>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</si>
  <si>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</si>
  <si>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</si>
  <si>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</si>
  <si>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</si>
  <si>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</si>
  <si>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</si>
  <si>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</si>
  <si>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</si>
  <si>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</si>
  <si>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</si>
  <si>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</si>
  <si>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</si>
  <si>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</si>
  <si>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</si>
  <si>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</si>
  <si>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</si>
  <si>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</si>
  <si>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</si>
  <si>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</si>
  <si>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</si>
  <si>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</si>
  <si>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</si>
  <si>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</si>
  <si>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</si>
  <si>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</si>
  <si>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</si>
  <si>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</si>
  <si>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</si>
  <si>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</si>
  <si>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</si>
  <si>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</si>
  <si>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</si>
  <si>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</si>
  <si>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</si>
  <si>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</si>
  <si>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</si>
  <si>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</si>
  <si>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</si>
  <si>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</si>
  <si>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</si>
  <si>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</si>
  <si>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</si>
  <si>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</si>
  <si>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</si>
  <si>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</si>
  <si>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</si>
  <si>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</si>
  <si>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</si>
  <si>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</si>
  <si>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</si>
  <si>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</si>
  <si>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</si>
  <si>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</si>
  <si>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</si>
  <si>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</si>
  <si>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</si>
  <si>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</si>
  <si>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</si>
  <si>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</si>
  <si>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</si>
  <si>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</si>
  <si>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</si>
  <si>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</si>
  <si>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</si>
  <si>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</si>
  <si>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</si>
  <si>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</si>
  <si>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</si>
  <si>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</si>
  <si>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</si>
  <si>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</si>
  <si>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</si>
  <si>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</si>
  <si>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</si>
  <si>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</si>
  <si>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</si>
  <si>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</si>
  <si>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</si>
  <si>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</si>
  <si>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</si>
  <si>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</si>
  <si>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</si>
  <si>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</si>
  <si>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</si>
  <si>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</si>
  <si>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</si>
  <si>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</si>
  <si>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</si>
  <si>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</si>
  <si>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</si>
  <si>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</si>
  <si>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</si>
  <si>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</si>
  <si>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</si>
  <si>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</si>
  <si>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</si>
  <si>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</si>
  <si>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</si>
  <si>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</si>
  <si>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</si>
  <si>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</si>
  <si>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</si>
  <si>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</si>
  <si>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</si>
  <si>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</si>
  <si>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</si>
  <si>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</si>
  <si>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</si>
  <si>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</si>
  <si>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</si>
  <si>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</si>
  <si>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</si>
  <si>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</si>
  <si>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</si>
  <si>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</si>
  <si>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</si>
  <si>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</si>
  <si>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</si>
  <si>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</si>
  <si>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</si>
  <si>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</si>
  <si>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</si>
  <si>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</si>
  <si>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</si>
  <si>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</si>
  <si>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</si>
  <si>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</si>
  <si>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</si>
  <si>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</si>
  <si>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</si>
  <si>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</si>
  <si>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</si>
  <si>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</si>
  <si>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</si>
  <si>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</si>
  <si>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</si>
  <si>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</si>
  <si>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</si>
  <si>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</si>
  <si>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</si>
  <si>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</si>
  <si>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</si>
  <si>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</si>
  <si>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</si>
  <si>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</si>
  <si>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</si>
  <si>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</si>
  <si>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</si>
  <si>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</si>
  <si>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</si>
  <si>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</si>
  <si>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</si>
  <si>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</si>
  <si>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</si>
  <si>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</si>
  <si>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</si>
  <si>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</si>
  <si>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</si>
  <si>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</si>
  <si>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</si>
  <si>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</si>
  <si>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</si>
  <si>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</si>
  <si>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</si>
  <si>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</si>
  <si>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</si>
  <si>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</si>
  <si>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</si>
  <si>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</si>
  <si>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</si>
  <si>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</si>
  <si>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</si>
  <si>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</si>
  <si>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</si>
  <si>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</si>
  <si>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</si>
  <si>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</si>
  <si>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</si>
  <si>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</si>
  <si>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</si>
  <si>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</si>
  <si>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</si>
  <si>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</si>
  <si>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</si>
  <si>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</si>
  <si>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</si>
  <si>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</si>
  <si>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</si>
  <si>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</si>
  <si>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</si>
  <si>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</si>
  <si>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</si>
  <si>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</si>
  <si>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</si>
  <si>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</si>
  <si>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</si>
  <si>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</si>
  <si>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</si>
  <si>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</si>
  <si>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</si>
  <si>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</si>
  <si>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</si>
  <si>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</si>
  <si>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</si>
  <si>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</si>
  <si>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</si>
  <si>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</si>
  <si>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</si>
  <si>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</si>
  <si>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</si>
  <si>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</si>
  <si>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</si>
  <si>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</si>
  <si>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</si>
  <si>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</si>
  <si>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</si>
  <si>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</si>
  <si>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</si>
  <si>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</si>
  <si>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</si>
  <si>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</si>
  <si>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</si>
  <si>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</si>
  <si>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</si>
  <si>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</si>
  <si>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</si>
  <si>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</si>
  <si>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</si>
  <si>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</si>
  <si>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</si>
  <si>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</si>
  <si>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</si>
  <si>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</si>
  <si>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</si>
  <si>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</si>
  <si>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</si>
  <si>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</si>
  <si>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</si>
  <si>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</si>
  <si>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</si>
  <si>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</si>
  <si>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</si>
  <si>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</si>
  <si>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</si>
  <si>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</si>
  <si>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</si>
  <si>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</si>
  <si>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</si>
  <si>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</si>
  <si>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</si>
  <si>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</si>
  <si>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</si>
  <si>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</si>
  <si>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</si>
  <si>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</si>
  <si>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</si>
  <si>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</si>
  <si>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</si>
  <si>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</si>
  <si>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</si>
  <si>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</si>
  <si>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</si>
  <si>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</si>
  <si>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</si>
  <si>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</si>
  <si>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</si>
  <si>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</si>
  <si>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</si>
  <si>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</si>
  <si>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</si>
  <si>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</si>
  <si>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</si>
  <si>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</si>
  <si>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</si>
  <si>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</si>
  <si>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</si>
  <si>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</si>
  <si>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</si>
  <si>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</si>
  <si>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</si>
  <si>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</si>
  <si>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</si>
  <si>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</si>
  <si>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</si>
  <si>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</si>
  <si>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</si>
  <si>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</si>
  <si>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</si>
  <si>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</si>
  <si>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</si>
  <si>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</si>
  <si>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</si>
  <si>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</si>
  <si>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</si>
  <si>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</si>
  <si>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</si>
  <si>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</si>
  <si>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</si>
  <si>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</si>
  <si>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</si>
  <si>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</si>
  <si>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</si>
  <si>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</si>
  <si>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</si>
  <si>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</si>
  <si>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</si>
  <si>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</si>
  <si>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</si>
  <si>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</si>
  <si>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</si>
  <si>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</si>
  <si>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</si>
  <si>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</si>
  <si>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</si>
  <si>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</si>
  <si>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</si>
  <si>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</si>
  <si>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</si>
  <si>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</si>
  <si>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</si>
  <si>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</si>
  <si>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</si>
  <si>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</si>
  <si>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</si>
  <si>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</si>
  <si>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</si>
  <si>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</si>
  <si>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</si>
  <si>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</si>
  <si>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</si>
  <si>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</si>
  <si>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</si>
  <si>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</si>
  <si>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</si>
  <si>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</si>
  <si>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</si>
  <si>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</si>
  <si>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</si>
  <si>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</si>
  <si>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</si>
  <si>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</si>
  <si>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</si>
  <si>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</si>
  <si>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</si>
  <si>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</si>
  <si>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</si>
  <si>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</si>
  <si>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</si>
  <si>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</si>
  <si>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</si>
  <si>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</si>
  <si>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</si>
  <si>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</si>
  <si>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</si>
  <si>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</si>
  <si>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</si>
  <si>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</si>
  <si>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</si>
  <si>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</si>
  <si>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</si>
  <si>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</si>
  <si>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</si>
  <si>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</si>
  <si>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</si>
  <si>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</si>
  <si>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</si>
  <si>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</si>
  <si>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</si>
  <si>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</si>
  <si>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</si>
  <si>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</si>
  <si>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</si>
  <si>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</si>
  <si>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</si>
  <si>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</si>
  <si>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</si>
  <si>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</si>
  <si>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</si>
  <si>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</si>
  <si>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</si>
  <si>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</si>
  <si>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</si>
  <si>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</si>
  <si>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</si>
  <si>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</si>
  <si>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</si>
  <si>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</si>
  <si>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</si>
  <si>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</si>
  <si>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</si>
  <si>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</si>
  <si>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</si>
  <si>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</si>
  <si>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</si>
  <si>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</si>
  <si>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</si>
  <si>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</si>
  <si>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</si>
  <si>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</si>
  <si>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</si>
  <si>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</si>
  <si>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</si>
  <si>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</si>
  <si>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</si>
  <si>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</si>
  <si>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</si>
  <si>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</si>
  <si>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</si>
  <si>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</si>
  <si>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</si>
  <si>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</si>
  <si>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</si>
  <si>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</si>
  <si>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</si>
  <si>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</si>
  <si>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</si>
  <si>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</si>
  <si>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</si>
  <si>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</si>
  <si>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</si>
  <si>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</si>
  <si>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</si>
  <si>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</si>
  <si>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</si>
  <si>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</si>
  <si>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</si>
  <si>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</si>
  <si>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</si>
  <si>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</si>
  <si>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</si>
  <si>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</si>
  <si>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</si>
  <si>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</si>
  <si>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</si>
  <si>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</si>
  <si>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</si>
  <si>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</si>
  <si>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</si>
  <si>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</si>
  <si>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</si>
  <si>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</si>
  <si>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</si>
  <si>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</si>
  <si>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</si>
  <si>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</si>
  <si>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</si>
  <si>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</si>
  <si>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</si>
  <si>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</si>
  <si>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</si>
  <si>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</si>
  <si>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</si>
  <si>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</si>
  <si>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</si>
  <si>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</si>
  <si>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</si>
  <si>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</si>
  <si>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</si>
  <si>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</si>
  <si>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</si>
  <si>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</si>
  <si>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</si>
  <si>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</si>
  <si>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</si>
  <si>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</si>
  <si>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</si>
  <si>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</si>
  <si>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</si>
  <si>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</si>
  <si>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</si>
  <si>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</si>
  <si>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</si>
  <si>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</si>
  <si>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</si>
  <si>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</si>
  <si>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</si>
  <si>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</si>
  <si>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</si>
  <si>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</si>
  <si>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</si>
  <si>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</si>
  <si>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</si>
  <si>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</si>
  <si>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</si>
  <si>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</si>
  <si>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</si>
  <si>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</si>
  <si>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</si>
  <si>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</si>
  <si>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</si>
  <si>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</si>
  <si>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</si>
  <si>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</si>
  <si>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</si>
  <si>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</si>
  <si>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</si>
  <si>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</si>
  <si>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</si>
  <si>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</si>
  <si>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</si>
  <si>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</si>
  <si>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</si>
  <si>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</si>
  <si>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</si>
  <si>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</si>
  <si>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</si>
  <si>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</si>
  <si>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</si>
  <si>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</si>
  <si>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</si>
  <si>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</si>
  <si>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</si>
  <si>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</si>
  <si>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</si>
  <si>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</si>
  <si>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</si>
  <si>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</si>
  <si>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</si>
  <si>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</si>
  <si>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</si>
  <si>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</si>
  <si>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</si>
  <si>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</si>
  <si>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</si>
  <si>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</si>
  <si>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</si>
  <si>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</si>
  <si>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</si>
  <si>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</si>
  <si>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</si>
  <si>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</si>
  <si>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</si>
  <si>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</si>
  <si>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</si>
  <si>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</si>
  <si>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</si>
  <si>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</si>
  <si>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</si>
  <si>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</si>
  <si>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</si>
  <si>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</si>
  <si>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</si>
  <si>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</si>
  <si>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</si>
  <si>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</si>
  <si>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</si>
  <si>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</si>
  <si>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</si>
  <si>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</si>
  <si>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</si>
  <si>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</si>
  <si>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</si>
  <si>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</si>
  <si>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</si>
  <si>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</si>
  <si>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</si>
  <si>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</si>
  <si>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</si>
  <si>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</si>
  <si>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</si>
  <si>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</si>
  <si>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</si>
  <si>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</si>
  <si>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</si>
  <si>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</si>
  <si>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</si>
  <si>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</si>
  <si>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</si>
  <si>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</si>
  <si>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</si>
  <si>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</si>
  <si>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</si>
  <si>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</si>
  <si>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</si>
  <si>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</si>
  <si>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</si>
  <si>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</si>
  <si>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</si>
  <si>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</si>
  <si>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</si>
  <si>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</si>
  <si>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</si>
  <si>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</si>
  <si>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</si>
  <si>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</si>
  <si>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</si>
  <si>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</si>
  <si>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</si>
  <si>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</si>
  <si>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</si>
  <si>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</si>
  <si>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</si>
  <si>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</si>
  <si>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</si>
  <si>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</si>
  <si>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</si>
  <si>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</si>
  <si>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</si>
  <si>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</si>
  <si>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</si>
  <si>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</si>
  <si>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</si>
  <si>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</si>
  <si>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</si>
  <si>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</si>
  <si>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</si>
  <si>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</si>
  <si>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</si>
  <si>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</si>
  <si>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</si>
  <si>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</si>
  <si>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</si>
  <si>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</si>
  <si>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</si>
  <si>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</si>
  <si>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</si>
  <si>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</si>
  <si>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</si>
  <si>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</si>
  <si>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</si>
  <si>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</si>
  <si>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</si>
  <si>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</si>
  <si>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</si>
  <si>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</si>
  <si>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</si>
  <si>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</si>
  <si>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</si>
  <si>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</si>
  <si>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</si>
  <si>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</si>
  <si>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</si>
  <si>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</si>
  <si>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</si>
  <si>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</si>
  <si>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</si>
  <si>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</si>
  <si>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</si>
  <si>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</si>
  <si>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</si>
  <si>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</si>
  <si>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</si>
  <si>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</si>
  <si>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</si>
  <si>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</si>
  <si>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</si>
  <si>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</si>
  <si>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</si>
  <si>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</si>
  <si>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</si>
  <si>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</si>
  <si>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</si>
  <si>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</si>
  <si>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</si>
  <si>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</si>
  <si>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</si>
  <si>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</si>
  <si>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</si>
  <si>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</si>
  <si>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</si>
  <si>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</si>
  <si>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</si>
  <si>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</si>
  <si>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</si>
  <si>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</si>
  <si>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</si>
  <si>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</si>
  <si>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</si>
  <si>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</si>
  <si>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</si>
  <si>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</si>
  <si>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</si>
  <si>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</si>
  <si>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</si>
  <si>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</si>
  <si>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</si>
  <si>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</si>
  <si>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</si>
  <si>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</si>
  <si>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</si>
  <si>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</si>
  <si>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</si>
  <si>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</si>
  <si>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</si>
  <si>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</si>
  <si>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</si>
  <si>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</si>
  <si>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</si>
  <si>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</si>
  <si>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</si>
  <si>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</si>
  <si>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</si>
  <si>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</si>
  <si>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</si>
  <si>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</si>
  <si>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</si>
  <si>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</si>
  <si>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</si>
  <si>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</si>
  <si>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</si>
  <si>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</si>
  <si>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</si>
  <si>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</si>
  <si>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</si>
  <si>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</si>
  <si>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</si>
  <si>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</si>
  <si>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</si>
  <si>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CADIZ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</si>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</sst>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axWveWJ2fKwwqe6FklQL+s6DHbvqT6XGWk1m8n/ofM9bKO/S0BrgIXhIuwUr24kvEl7bTlTJnOiX7eHryMvQ==" saltValue="GHklOYGNOFgPs+U5gaDh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50.3705471905986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57</v>
      </c>
      <c r="D10" s="239">
        <f>IF(ISNUMBER(Datos!I10),Datos!I10," - ")</f>
        <v>57</v>
      </c>
      <c r="E10" s="240">
        <f>IF(ISNUMBER(Datos!J10),Datos!J10," - ")</f>
        <v>33</v>
      </c>
      <c r="F10" s="240">
        <f>IF(ISNUMBER(Datos!K10),Datos!K10," - ")</f>
        <v>35</v>
      </c>
      <c r="G10" s="1390" t="str">
        <f>IF(Datos!E10&lt;&gt;"",Datos!E10,Datos!D10)</f>
        <v>37</v>
      </c>
      <c r="H10" s="241">
        <f>IF(ISNUMBER(Datos!L10),Datos!L10," - ")</f>
        <v>55</v>
      </c>
      <c r="I10" s="1400" t="str">
        <f>IF(ISNUMBER(Datos!AS10/Datos!BM10),Datos!AS10/Datos!BM10," - ")</f>
        <v xml:space="preserve"> - </v>
      </c>
      <c r="J10" s="1401">
        <f>IF(ISNUMBER(Datos!BY10/Datos!CN10),Datos!BY10/Datos!CN10," - ")</f>
        <v>0</v>
      </c>
      <c r="K10" s="244">
        <f t="shared" ref="K10:K13" si="1">IF(ISNUMBER((E10-F10)/C10),(E10-F10)/C10," - ")</f>
        <v>-3.5087719298245612E-2</v>
      </c>
      <c r="L10" s="1402">
        <f>IF(ISNUMBER(NºAsuntos!I10/NºAsuntos!G10),(NºAsuntos!I10/NºAsuntos!G10)*11," - ")</f>
        <v>17.285714285714285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57</v>
      </c>
      <c r="D14" s="1407">
        <f>SUBTOTAL(9,D9:D13)</f>
        <v>57</v>
      </c>
      <c r="E14" s="1408">
        <f>SUBTOTAL(9,E9:E13)</f>
        <v>33</v>
      </c>
      <c r="F14" s="1409">
        <f>SUBTOTAL(9,F9:F13)</f>
        <v>35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673</v>
      </c>
      <c r="D16" s="239">
        <f>IF(ISNUMBER(IF(D_I="SI",Datos!I16,Datos!I16+Datos!AC16)),IF(D_I="SI",Datos!I16,Datos!I16+Datos!AC16)," - ")</f>
        <v>666</v>
      </c>
      <c r="E16" s="240">
        <f>IF(ISNUMBER(IF(D_I="SI",Datos!J16,Datos!J16+Datos!AD16)),IF(D_I="SI",Datos!J16,Datos!J16+Datos!AD16)," - ")</f>
        <v>1583</v>
      </c>
      <c r="F16" s="240">
        <f>IF(ISNUMBER(IF(D_I="SI",Datos!K16,Datos!K16+Datos!AE16)),IF(D_I="SI",Datos!K16,Datos!K16+Datos!AE16)," - ")</f>
        <v>1648</v>
      </c>
      <c r="G16" s="1390" t="str">
        <f>IF(Datos!E16&lt;&gt;"",Datos!E16,Datos!D16)</f>
        <v>03</v>
      </c>
      <c r="H16" s="241">
        <f>IF(ISNUMBER(IF(D_I="SI",Datos!L16,Datos!L16+Datos!AF16)),IF(D_I="SI",Datos!L16,Datos!L16+Datos!AF16)," - ")</f>
        <v>608</v>
      </c>
      <c r="I16" s="1400" t="str">
        <f>IF(ISNUMBER(Datos!AS16/Datos!BM16),Datos!AS16/Datos!BM16," - ")</f>
        <v xml:space="preserve"> - </v>
      </c>
      <c r="J16" s="1401">
        <f>IF(ISNUMBER(Datos!BY16/Datos!CN16),Datos!BY16/Datos!CN16," - ")</f>
        <v>0</v>
      </c>
      <c r="K16" s="244">
        <f t="shared" ref="K16:K22" si="3">IF(ISNUMBER((E16-F16)/C16),(E16-F16)/C16," - ")</f>
        <v>-9.658246656760773E-2</v>
      </c>
      <c r="L16" s="1402">
        <f>IF(ISNUMBER(NºAsuntos!I16/NºAsuntos!G16),(NºAsuntos!I16/NºAsuntos!G16)*11," - ")</f>
        <v>4.058252427184466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0</v>
      </c>
      <c r="D17" s="239">
        <f>IF(ISNUMBER(IF(D_I="SI",Datos!I17,Datos!I17+Datos!AC17)),IF(D_I="SI",Datos!I17,Datos!I17+Datos!AC17)," - ")</f>
        <v>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0</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114</v>
      </c>
      <c r="D18" s="239">
        <f>IF(ISNUMBER(IF(D_I="SI",Datos!I18,Datos!I18+Datos!AC18)),IF(D_I="SI",Datos!I18,Datos!I18+Datos!AC18)," - ")</f>
        <v>106</v>
      </c>
      <c r="E18" s="240">
        <f>IF(ISNUMBER(IF(D_I="SI",Datos!J18,Datos!J18+Datos!AD18)),IF(D_I="SI",Datos!J18,Datos!J18+Datos!AD18)," - ")</f>
        <v>159</v>
      </c>
      <c r="F18" s="240">
        <f>IF(ISNUMBER(IF(D_I="SI",Datos!K18,Datos!K18+Datos!AE18)),IF(D_I="SI",Datos!K18,Datos!K18+Datos!AE18)," - ")</f>
        <v>153</v>
      </c>
      <c r="G18" s="1390" t="str">
        <f>IF(Datos!E18&lt;&gt;"",Datos!E18,Datos!D18)</f>
        <v>37</v>
      </c>
      <c r="H18" s="241">
        <f>IF(ISNUMBER(IF(D_I="SI",Datos!L18,Datos!L18+Datos!AF18)),IF(D_I="SI",Datos!L18,Datos!L18+Datos!AF18)," - ")</f>
        <v>120</v>
      </c>
      <c r="I18" s="1400" t="str">
        <f>IF(ISNUMBER(Datos!AS18/Datos!BM18),Datos!AS18/Datos!BM18," - ")</f>
        <v xml:space="preserve"> - </v>
      </c>
      <c r="J18" s="1401" t="str">
        <f>IF(ISNUMBER((Datos!BY18+Datos!BZ18)/Datos!CN18),(Datos!BY18+Datos!BZ18)/Datos!CN18," - ")</f>
        <v xml:space="preserve"> - </v>
      </c>
      <c r="K18" s="244">
        <f t="shared" si="3"/>
        <v>5.2631578947368418E-2</v>
      </c>
      <c r="L18" s="1402">
        <f>IF(ISNUMBER(NºAsuntos!I18/NºAsuntos!G18),(NºAsuntos!I18/NºAsuntos!G18)*11," - ")</f>
        <v>8.6274509803921564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787</v>
      </c>
      <c r="D23" s="1407">
        <f>SUBTOTAL(9,D16:D22)</f>
        <v>772</v>
      </c>
      <c r="E23" s="1408">
        <f>SUBTOTAL(9,E16:E22)</f>
        <v>1742</v>
      </c>
      <c r="F23" s="1408">
        <f>SUBTOTAL(9,F16:F22)</f>
        <v>1801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844</v>
      </c>
      <c r="D31" s="1435">
        <f>SUBTOTAL(9,D9:D30)</f>
        <v>829</v>
      </c>
      <c r="E31" s="1436">
        <f>SUBTOTAL(9,E9:E30)</f>
        <v>1775</v>
      </c>
      <c r="F31" s="1436">
        <f>SUBTOTAL(9,F9:F30)</f>
        <v>1836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MvimJVJI0mxPncl1suIHxl63HBAc2DHj4uuv721AR5WtcuAFLBnPjTW8E/yYG+MJC4yY6v5cf5go3IGTk3+9fQ==" saltValue="R+xM+hRTGRduBdmMY4/5k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b3eWyWQq8TzJHNuO/iCcxJOmqCT09bGNQ6kUAmnjC6zsvYAJS2q/TYGMISmkWwOFdrbC0WkLg+f8P+2Po9BzQ==" saltValue="3ow6RMMkEhM8xGZWWfcU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14261</v>
      </c>
      <c r="J9" s="194">
        <v>2267</v>
      </c>
      <c r="K9" s="194">
        <v>2564</v>
      </c>
      <c r="L9" s="194">
        <v>12202</v>
      </c>
      <c r="M9" s="194">
        <v>1221</v>
      </c>
      <c r="N9" s="194">
        <v>561</v>
      </c>
      <c r="O9" s="194">
        <v>860</v>
      </c>
      <c r="P9" s="194">
        <v>543</v>
      </c>
      <c r="Q9" s="194">
        <v>702</v>
      </c>
      <c r="R9" s="194">
        <v>7364</v>
      </c>
      <c r="S9" s="194">
        <v>14735</v>
      </c>
      <c r="T9" s="194">
        <v>2657</v>
      </c>
      <c r="U9" s="194">
        <v>2494</v>
      </c>
      <c r="V9" s="194">
        <v>14993</v>
      </c>
      <c r="W9" s="194">
        <v>1079</v>
      </c>
      <c r="X9" s="201">
        <v>620</v>
      </c>
      <c r="Y9" s="204">
        <v>334</v>
      </c>
      <c r="Z9" s="194">
        <v>118</v>
      </c>
      <c r="AA9" s="194">
        <v>159</v>
      </c>
      <c r="AB9" s="194">
        <v>267</v>
      </c>
      <c r="AC9" s="194">
        <v>0</v>
      </c>
      <c r="AD9" s="194">
        <v>0</v>
      </c>
      <c r="AE9" s="194">
        <v>0</v>
      </c>
      <c r="AF9" s="201">
        <v>0</v>
      </c>
      <c r="AG9" s="204">
        <v>282</v>
      </c>
      <c r="AH9" s="194">
        <v>134</v>
      </c>
      <c r="AI9" s="194">
        <v>118</v>
      </c>
      <c r="AJ9" s="205">
        <v>298</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15017</v>
      </c>
      <c r="AZ9" s="133">
        <f>IF(ISNUMBER(IF(J_V="SI",T9,T9+AH9)),IF(J_V="SI",T9,T9+AH9)," - ")</f>
        <v>2791</v>
      </c>
      <c r="BA9" s="134">
        <f>IF(ISNUMBER(IF(J_V="SI",U9,U9+AI9)),IF(J_V="SI",U9,U9+AI9)," - ")</f>
        <v>2612</v>
      </c>
      <c r="BB9" s="134">
        <f>IF(ISNUMBER(IF(J_V="SI",V9,V9+AJ9)),IF(J_V="SI",V9,V9+AJ9)," - ")</f>
        <v>15291</v>
      </c>
      <c r="BC9" s="135">
        <f>IF(ISNUMBER(X9),X9," - ")</f>
        <v>620</v>
      </c>
      <c r="BD9" s="136">
        <f>IF(ISNUMBER(BA9/AZ9),BA9/AZ9," - ")</f>
        <v>0.93586528126119672</v>
      </c>
      <c r="BE9" s="137">
        <f>IF(ISNUMBER(BB9/BA9),BB9/BA9, " - ")</f>
        <v>5.854134762633997</v>
      </c>
      <c r="BF9" s="137">
        <f>IF(ISNUMBER(BC9/BA9),BC9/BA9, " - ")</f>
        <v>0.23736600306278713</v>
      </c>
      <c r="BG9" s="209">
        <f>IF(ISNUMBER((AY9+AZ9)/BA9),(AY9+AZ9)/BA9," - ")</f>
        <v>6.8177641653905052</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57</v>
      </c>
      <c r="J10" s="194">
        <v>33</v>
      </c>
      <c r="K10" s="194">
        <v>35</v>
      </c>
      <c r="L10" s="194">
        <v>55</v>
      </c>
      <c r="M10" s="194">
        <v>8</v>
      </c>
      <c r="N10" s="194">
        <v>14</v>
      </c>
      <c r="O10" s="194">
        <v>9</v>
      </c>
      <c r="P10" s="194">
        <v>9</v>
      </c>
      <c r="Q10" s="194">
        <v>11</v>
      </c>
      <c r="R10" s="194">
        <v>36</v>
      </c>
      <c r="S10" s="194">
        <v>60</v>
      </c>
      <c r="T10" s="194">
        <v>17</v>
      </c>
      <c r="U10" s="194">
        <v>18</v>
      </c>
      <c r="V10" s="194">
        <v>59</v>
      </c>
      <c r="W10" s="194">
        <v>6</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60</v>
      </c>
      <c r="AZ10" s="139">
        <f t="shared" si="0"/>
        <v>17</v>
      </c>
      <c r="BA10" s="139">
        <f t="shared" si="0"/>
        <v>18</v>
      </c>
      <c r="BB10" s="139">
        <f t="shared" si="0"/>
        <v>59</v>
      </c>
      <c r="BC10" s="135">
        <f t="shared" si="0"/>
        <v>6</v>
      </c>
      <c r="BD10" s="136">
        <f>IF(ISNUMBER(BA10/AZ10),BA10/AZ10," - ")</f>
        <v>1.0588235294117647</v>
      </c>
      <c r="BE10" s="137">
        <f>IF(ISNUMBER(BB10/BA10),BB10/BA10, " - ")</f>
        <v>3.2777777777777777</v>
      </c>
      <c r="BF10" s="137">
        <f>IF(ISNUMBER(BC10/BA10),BC10/BA10, " - ")</f>
        <v>0.33333333333333331</v>
      </c>
      <c r="BG10" s="209">
        <f>IF(ISNUMBER((AY10+AZ10)/BA10),(AY10+AZ10)/BA10," - ")</f>
        <v>4.2777777777777777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14318</v>
      </c>
      <c r="J14" s="197">
        <f t="shared" si="7"/>
        <v>2300</v>
      </c>
      <c r="K14" s="197">
        <f t="shared" si="7"/>
        <v>2599</v>
      </c>
      <c r="L14" s="197">
        <f t="shared" si="7"/>
        <v>12257</v>
      </c>
      <c r="M14" s="197">
        <f t="shared" si="7"/>
        <v>1229</v>
      </c>
      <c r="N14" s="197">
        <f t="shared" si="7"/>
        <v>575</v>
      </c>
      <c r="O14" s="197">
        <f t="shared" si="7"/>
        <v>869</v>
      </c>
      <c r="P14" s="197">
        <f t="shared" si="7"/>
        <v>552</v>
      </c>
      <c r="Q14" s="197">
        <f t="shared" si="7"/>
        <v>713</v>
      </c>
      <c r="R14" s="197">
        <f t="shared" si="7"/>
        <v>7400</v>
      </c>
      <c r="S14" s="197">
        <f t="shared" si="7"/>
        <v>14795</v>
      </c>
      <c r="T14" s="197">
        <f t="shared" si="7"/>
        <v>2674</v>
      </c>
      <c r="U14" s="197">
        <f t="shared" si="7"/>
        <v>2512</v>
      </c>
      <c r="V14" s="197">
        <f t="shared" si="7"/>
        <v>15052</v>
      </c>
      <c r="W14" s="197">
        <f t="shared" si="7"/>
        <v>1085</v>
      </c>
      <c r="X14" s="197">
        <f t="shared" si="7"/>
        <v>624</v>
      </c>
      <c r="Y14" s="197">
        <f t="shared" si="7"/>
        <v>334</v>
      </c>
      <c r="Z14" s="197">
        <f t="shared" si="7"/>
        <v>118</v>
      </c>
      <c r="AA14" s="197">
        <f t="shared" si="7"/>
        <v>159</v>
      </c>
      <c r="AB14" s="197">
        <f t="shared" si="7"/>
        <v>267</v>
      </c>
      <c r="AC14" s="197">
        <f t="shared" si="7"/>
        <v>0</v>
      </c>
      <c r="AD14" s="197">
        <f t="shared" si="7"/>
        <v>0</v>
      </c>
      <c r="AE14" s="197">
        <f t="shared" si="7"/>
        <v>0</v>
      </c>
      <c r="AF14" s="197">
        <f>SUBTOTAL(9,AF9:AF13)</f>
        <v>0</v>
      </c>
      <c r="AG14" s="197">
        <f t="shared" ref="AG14:AT14" si="8">SUBTOTAL(9,AG8:AG13)</f>
        <v>282</v>
      </c>
      <c r="AH14" s="197">
        <f t="shared" si="8"/>
        <v>134</v>
      </c>
      <c r="AI14" s="197">
        <f t="shared" si="8"/>
        <v>118</v>
      </c>
      <c r="AJ14" s="197">
        <f t="shared" si="8"/>
        <v>298</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15077</v>
      </c>
      <c r="AZ14" s="197">
        <f>SUBTOTAL(9,AZ8:AZ13)</f>
        <v>2808</v>
      </c>
      <c r="BA14" s="197">
        <f>SUBTOTAL(9,BA8:BA13)</f>
        <v>2630</v>
      </c>
      <c r="BB14" s="197">
        <f>SUBTOTAL(9,BB8:BB13)</f>
        <v>15350</v>
      </c>
      <c r="BC14" s="197">
        <f>SUBTOTAL(9,BC8:BC13)</f>
        <v>626</v>
      </c>
      <c r="BD14" s="219">
        <f>IF(ISNUMBER(BA14/AZ14),BA14/AZ14," - ")</f>
        <v>0.93660968660968658</v>
      </c>
      <c r="BE14" s="220">
        <f>IF(ISNUMBER(BB14/BA14),BB14/BA14, " - ")</f>
        <v>5.836501901140684</v>
      </c>
      <c r="BF14" s="220">
        <f>IF(ISNUMBER(BC14/BA14),BC14/BA14, " - ")</f>
        <v>0.23802281368821293</v>
      </c>
      <c r="BG14" s="221">
        <f>IF(ISNUMBER((AY14+AZ14)/BA14),(AY14+AZ14)/BA14," - ")</f>
        <v>6.8003802281368824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666</v>
      </c>
      <c r="J16" s="196">
        <v>1583</v>
      </c>
      <c r="K16" s="196">
        <v>1648</v>
      </c>
      <c r="L16" s="196">
        <v>608</v>
      </c>
      <c r="M16" s="196">
        <v>223</v>
      </c>
      <c r="N16" s="196">
        <v>1088</v>
      </c>
      <c r="O16" s="194">
        <v>36</v>
      </c>
      <c r="P16" s="196">
        <v>85</v>
      </c>
      <c r="Q16" s="196">
        <v>93</v>
      </c>
      <c r="R16" s="196">
        <v>220</v>
      </c>
      <c r="S16" s="196">
        <v>755</v>
      </c>
      <c r="T16" s="196">
        <v>1239</v>
      </c>
      <c r="U16" s="196">
        <v>1311</v>
      </c>
      <c r="V16" s="196">
        <v>687</v>
      </c>
      <c r="W16" s="196">
        <v>209</v>
      </c>
      <c r="X16" s="202">
        <v>813</v>
      </c>
      <c r="Y16" s="215">
        <v>0</v>
      </c>
      <c r="Z16" s="196">
        <v>0</v>
      </c>
      <c r="AA16" s="196">
        <v>0</v>
      </c>
      <c r="AB16" s="196">
        <v>0</v>
      </c>
      <c r="AC16" s="196">
        <v>0</v>
      </c>
      <c r="AD16" s="196">
        <v>76</v>
      </c>
      <c r="AE16" s="196">
        <v>76</v>
      </c>
      <c r="AF16" s="202">
        <v>0</v>
      </c>
      <c r="AG16" s="215">
        <v>0</v>
      </c>
      <c r="AH16" s="196">
        <v>0</v>
      </c>
      <c r="AI16" s="196">
        <v>0</v>
      </c>
      <c r="AJ16" s="216">
        <v>0</v>
      </c>
      <c r="AK16" s="195">
        <v>0</v>
      </c>
      <c r="AL16" s="196">
        <v>63</v>
      </c>
      <c r="AM16" s="196">
        <v>63</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755</v>
      </c>
      <c r="AZ16" s="139">
        <f t="shared" si="10"/>
        <v>1239</v>
      </c>
      <c r="BA16" s="139">
        <f t="shared" si="10"/>
        <v>1311</v>
      </c>
      <c r="BB16" s="139">
        <f t="shared" si="10"/>
        <v>687</v>
      </c>
      <c r="BC16" s="135">
        <f>IF(ISNUMBER(W16),W16," - ")</f>
        <v>209</v>
      </c>
      <c r="BD16" s="136">
        <f>IF(ISNUMBER(BA16/AZ16),BA16/AZ16," - ")</f>
        <v>1.0581113801452784</v>
      </c>
      <c r="BE16" s="137">
        <f>IF(ISNUMBER(BB16/BA16),BB16/BA16, " - ")</f>
        <v>0.52402745995423339</v>
      </c>
      <c r="BF16" s="137">
        <f>IF(ISNUMBER(BC16/BA16),BC16/BA16, " - ")</f>
        <v>0.15942028985507245</v>
      </c>
      <c r="BG16" s="209">
        <f t="shared" ref="BG16:BG22" si="11">IF(ISNUMBER((AY16+AZ16)/BA16),(AY16+AZ16)/BA16," - ")</f>
        <v>1.520976353928299</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0</v>
      </c>
      <c r="J17" s="196">
        <v>0</v>
      </c>
      <c r="K17" s="196">
        <v>0</v>
      </c>
      <c r="L17" s="196">
        <v>0</v>
      </c>
      <c r="M17" s="196">
        <v>0</v>
      </c>
      <c r="N17" s="196">
        <v>0</v>
      </c>
      <c r="O17" s="194">
        <v>0</v>
      </c>
      <c r="P17" s="196">
        <v>0</v>
      </c>
      <c r="Q17" s="196">
        <v>0</v>
      </c>
      <c r="R17" s="196">
        <v>0</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106</v>
      </c>
      <c r="J18" s="196">
        <v>159</v>
      </c>
      <c r="K18" s="196">
        <v>153</v>
      </c>
      <c r="L18" s="196">
        <v>120</v>
      </c>
      <c r="M18" s="196">
        <v>10</v>
      </c>
      <c r="N18" s="196">
        <v>132</v>
      </c>
      <c r="O18" s="196">
        <v>0</v>
      </c>
      <c r="P18" s="196">
        <v>2</v>
      </c>
      <c r="Q18" s="196">
        <v>5</v>
      </c>
      <c r="R18" s="196">
        <v>10</v>
      </c>
      <c r="S18" s="196">
        <v>105</v>
      </c>
      <c r="T18" s="196">
        <v>139</v>
      </c>
      <c r="U18" s="196">
        <v>150</v>
      </c>
      <c r="V18" s="196">
        <v>94</v>
      </c>
      <c r="W18" s="196">
        <v>13</v>
      </c>
      <c r="X18" s="202">
        <v>85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105</v>
      </c>
      <c r="AZ18" s="139">
        <f t="shared" si="15"/>
        <v>139</v>
      </c>
      <c r="BA18" s="139">
        <f t="shared" si="15"/>
        <v>150</v>
      </c>
      <c r="BB18" s="139">
        <f t="shared" si="15"/>
        <v>94</v>
      </c>
      <c r="BC18" s="135">
        <f>IF(ISNUMBER(W18),W18," - ")</f>
        <v>13</v>
      </c>
      <c r="BD18" s="136">
        <f>IF(ISNUMBER(BA18/AZ18),BA18/AZ18," - ")</f>
        <v>1.079136690647482</v>
      </c>
      <c r="BE18" s="137">
        <f>IF(ISNUMBER(BB18/BA18),BB18/BA18, " - ")</f>
        <v>0.62666666666666671</v>
      </c>
      <c r="BF18" s="137">
        <f>IF(ISNUMBER(BC18/BA18),BC18/BA18, " - ")</f>
        <v>8.666666666666667E-2</v>
      </c>
      <c r="BG18" s="209">
        <f>IF(ISNUMBER((AY18+AZ18)/BA18),(AY18+AZ18)/BA18," - ")</f>
        <v>1.6266666666666667</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772</v>
      </c>
      <c r="J23" s="197">
        <f t="shared" si="21"/>
        <v>1742</v>
      </c>
      <c r="K23" s="197">
        <f t="shared" si="21"/>
        <v>1801</v>
      </c>
      <c r="L23" s="197">
        <f t="shared" si="21"/>
        <v>728</v>
      </c>
      <c r="M23" s="197">
        <f t="shared" si="21"/>
        <v>233</v>
      </c>
      <c r="N23" s="197">
        <f t="shared" si="21"/>
        <v>1220</v>
      </c>
      <c r="O23" s="197">
        <f t="shared" si="21"/>
        <v>36</v>
      </c>
      <c r="P23" s="197">
        <f t="shared" si="21"/>
        <v>87</v>
      </c>
      <c r="Q23" s="197">
        <f t="shared" si="21"/>
        <v>98</v>
      </c>
      <c r="R23" s="197">
        <f t="shared" si="21"/>
        <v>230</v>
      </c>
      <c r="S23" s="197">
        <f t="shared" si="21"/>
        <v>861</v>
      </c>
      <c r="T23" s="197">
        <f t="shared" si="21"/>
        <v>1378</v>
      </c>
      <c r="U23" s="197">
        <f t="shared" si="21"/>
        <v>1461</v>
      </c>
      <c r="V23" s="197">
        <f t="shared" si="21"/>
        <v>782</v>
      </c>
      <c r="W23" s="197">
        <f t="shared" si="21"/>
        <v>222</v>
      </c>
      <c r="X23" s="197">
        <f t="shared" si="21"/>
        <v>898</v>
      </c>
      <c r="Y23" s="197">
        <f t="shared" si="21"/>
        <v>0</v>
      </c>
      <c r="Z23" s="197">
        <f t="shared" si="21"/>
        <v>0</v>
      </c>
      <c r="AA23" s="197">
        <f t="shared" si="21"/>
        <v>0</v>
      </c>
      <c r="AB23" s="197">
        <f t="shared" si="21"/>
        <v>0</v>
      </c>
      <c r="AC23" s="197">
        <f t="shared" si="21"/>
        <v>0</v>
      </c>
      <c r="AD23" s="197">
        <f t="shared" si="21"/>
        <v>76</v>
      </c>
      <c r="AE23" s="197">
        <f t="shared" si="21"/>
        <v>76</v>
      </c>
      <c r="AF23" s="197">
        <f t="shared" si="21"/>
        <v>0</v>
      </c>
      <c r="AG23" s="197">
        <f t="shared" si="21"/>
        <v>0</v>
      </c>
      <c r="AH23" s="197">
        <f t="shared" si="21"/>
        <v>0</v>
      </c>
      <c r="AI23" s="197">
        <f t="shared" si="21"/>
        <v>0</v>
      </c>
      <c r="AJ23" s="197">
        <f t="shared" si="21"/>
        <v>0</v>
      </c>
      <c r="AK23" s="197">
        <f t="shared" si="21"/>
        <v>0</v>
      </c>
      <c r="AL23" s="197">
        <f t="shared" si="21"/>
        <v>63</v>
      </c>
      <c r="AM23" s="197">
        <f t="shared" si="21"/>
        <v>63</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861</v>
      </c>
      <c r="AZ23" s="197">
        <f>SUBTOTAL(9,AZ15:AZ22)</f>
        <v>1378</v>
      </c>
      <c r="BA23" s="197">
        <f>SUBTOTAL(9,BA15:BA22)</f>
        <v>1461</v>
      </c>
      <c r="BB23" s="197">
        <f>SUBTOTAL(9,BB15:BB22)</f>
        <v>782</v>
      </c>
      <c r="BC23" s="197">
        <f>SUBTOTAL(9,BC15:BC22)</f>
        <v>222</v>
      </c>
      <c r="BD23" s="219">
        <f>IF(ISNUMBER(BA23/AZ23),BA23/AZ23," - ")</f>
        <v>1.0602322206095791</v>
      </c>
      <c r="BE23" s="220">
        <f>IF(ISNUMBER(BB23/BA23),BB23/BA23, " - ")</f>
        <v>0.53524982888432582</v>
      </c>
      <c r="BF23" s="220">
        <f>IF(ISNUMBER(BC23/BA23),BC23/BA23, " - ")</f>
        <v>0.15195071868583163</v>
      </c>
      <c r="BG23" s="221">
        <f>IF(ISNUMBER((AY23+AZ23)/BA23),(AY23+AZ23)/BA23," - ")</f>
        <v>1.5325119780971936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15090</v>
      </c>
      <c r="J31" s="144">
        <f t="shared" si="36"/>
        <v>4042</v>
      </c>
      <c r="K31" s="144">
        <f t="shared" si="36"/>
        <v>4400</v>
      </c>
      <c r="L31" s="144">
        <f t="shared" si="36"/>
        <v>12985</v>
      </c>
      <c r="M31" s="144">
        <f t="shared" si="36"/>
        <v>1462</v>
      </c>
      <c r="N31" s="144">
        <f t="shared" si="36"/>
        <v>1795</v>
      </c>
      <c r="O31" s="144">
        <f t="shared" si="36"/>
        <v>905</v>
      </c>
      <c r="P31" s="144">
        <f t="shared" si="36"/>
        <v>639</v>
      </c>
      <c r="Q31" s="144">
        <f t="shared" si="36"/>
        <v>811</v>
      </c>
      <c r="R31" s="144">
        <f t="shared" si="36"/>
        <v>7630</v>
      </c>
      <c r="S31" s="144">
        <f t="shared" si="36"/>
        <v>15656</v>
      </c>
      <c r="T31" s="144">
        <f t="shared" si="36"/>
        <v>4052</v>
      </c>
      <c r="U31" s="144">
        <f t="shared" si="36"/>
        <v>3973</v>
      </c>
      <c r="V31" s="144">
        <f t="shared" si="36"/>
        <v>15834</v>
      </c>
      <c r="W31" s="144">
        <f t="shared" si="36"/>
        <v>1307</v>
      </c>
      <c r="X31" s="144">
        <f t="shared" si="36"/>
        <v>1522</v>
      </c>
      <c r="Y31" s="144">
        <f t="shared" si="36"/>
        <v>334</v>
      </c>
      <c r="Z31" s="144">
        <f t="shared" si="36"/>
        <v>118</v>
      </c>
      <c r="AA31" s="144">
        <f t="shared" si="36"/>
        <v>159</v>
      </c>
      <c r="AB31" s="144">
        <f t="shared" si="36"/>
        <v>267</v>
      </c>
      <c r="AC31" s="144">
        <f t="shared" si="36"/>
        <v>0</v>
      </c>
      <c r="AD31" s="144">
        <f t="shared" si="36"/>
        <v>76</v>
      </c>
      <c r="AE31" s="144">
        <f t="shared" si="36"/>
        <v>76</v>
      </c>
      <c r="AF31" s="144">
        <f t="shared" si="36"/>
        <v>0</v>
      </c>
      <c r="AG31" s="144">
        <f t="shared" si="36"/>
        <v>282</v>
      </c>
      <c r="AH31" s="144">
        <f t="shared" si="36"/>
        <v>134</v>
      </c>
      <c r="AI31" s="144">
        <f t="shared" si="36"/>
        <v>118</v>
      </c>
      <c r="AJ31" s="144">
        <f t="shared" si="36"/>
        <v>298</v>
      </c>
      <c r="AK31" s="144">
        <f t="shared" si="36"/>
        <v>0</v>
      </c>
      <c r="AL31" s="144">
        <f t="shared" si="36"/>
        <v>63</v>
      </c>
      <c r="AM31" s="144">
        <f t="shared" si="36"/>
        <v>63</v>
      </c>
      <c r="AN31" s="224">
        <f t="shared" si="36"/>
        <v>0</v>
      </c>
      <c r="AO31" s="225">
        <v>11</v>
      </c>
      <c r="AP31" s="225">
        <v>11</v>
      </c>
      <c r="AQ31" s="225">
        <v>11</v>
      </c>
      <c r="AR31" s="225">
        <v>11</v>
      </c>
      <c r="AS31" s="166">
        <f t="shared" si="36"/>
        <v>0</v>
      </c>
      <c r="AT31" s="166">
        <f t="shared" si="36"/>
        <v>0</v>
      </c>
      <c r="AU31" s="225"/>
      <c r="AV31" s="226"/>
      <c r="AW31" s="225"/>
      <c r="AX31" s="226"/>
      <c r="AY31" s="143">
        <f>SUBTOTAL(9,AY9:AY30)</f>
        <v>15938</v>
      </c>
      <c r="AZ31" s="144">
        <f>SUBTOTAL(9,AZ9:AZ30)</f>
        <v>4186</v>
      </c>
      <c r="BA31" s="144">
        <f>SUBTOTAL(9,BA9:BA30)</f>
        <v>4091</v>
      </c>
      <c r="BB31" s="144">
        <f>SUBTOTAL(9,BB9:BB30)</f>
        <v>16132</v>
      </c>
      <c r="BC31" s="145">
        <f>SUBTOTAL(9,BC9:BC30)</f>
        <v>848</v>
      </c>
      <c r="BD31" s="227">
        <f>IF(ISNUMBER(BA31/AZ31),BA31/AZ31," - ")</f>
        <v>0.97730530339225996</v>
      </c>
      <c r="BE31" s="224">
        <f>IF(ISNUMBER(BB31/BA31),BB31/BA31, " - ")</f>
        <v>3.9432901491077974</v>
      </c>
      <c r="BF31" s="224">
        <f>IF(ISNUMBER(BC31/BA31),BC31/BA31, " - ")</f>
        <v>0.20728428257149842</v>
      </c>
      <c r="BG31" s="145">
        <f>IF(ISNUMBER((AY31+AZ31)/BA31),(AY31+AZ31)/BA31," - ")</f>
        <v>4.9190906868736253</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yKvoCjt12jbVy7/lxIV7fZr30aClaLtnwQ5kdMM9PeOC6nMhqcAsMZx42TFq9+5HLWjHBSlpeUS9xifZSQP1g==" saltValue="mpuS7UO14+n6goxSGD9h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OUTfW+HH+eqt+6MAyUKi40FII49uGg702owfGgjqEDf4S0ioNGQ32zYeXceSp1BUtnEfbp64eum91L/1JJAfg==" saltValue="FDAP3UyVL1lSqtNBzVRq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CADIZ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118</v>
      </c>
      <c r="O9" s="549"/>
      <c r="P9" s="549"/>
      <c r="Q9" s="547">
        <f>IF(ISNUMBER(Datos!P9),Datos!P9,0)</f>
        <v>543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702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267</v>
      </c>
      <c r="AI9" s="549" t="str">
        <f>IF(ISNUMBER(Datos!CD9),Datos!CD9,"-")</f>
        <v>-</v>
      </c>
      <c r="AJ9" s="549" t="str">
        <f>IF(ISNUMBER(Datos!EN9),Datos!EN9," - ")</f>
        <v xml:space="preserve"> - </v>
      </c>
      <c r="AK9" s="549"/>
      <c r="AL9" s="550"/>
      <c r="AM9" s="766">
        <f>IF(ISNUMBER(Datos!R9),Datos!R9," - ")</f>
        <v>7364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1221</v>
      </c>
      <c r="BD9" s="693">
        <f>IF(ISNUMBER(Datos!N9),Datos!N9," - ")</f>
        <v>561</v>
      </c>
      <c r="BE9" s="693" t="str">
        <f>IF(ISNUMBER(Datos!BW9),Datos!BW9," - ")</f>
        <v xml:space="preserve"> - </v>
      </c>
      <c r="BF9" s="762" t="str">
        <f>IF(ISNUMBER(Datos!BX9),Datos!BX9," - ")</f>
        <v xml:space="preserve"> - </v>
      </c>
      <c r="BG9" s="763">
        <f>IF(ISNUMBER(IF(J_V="SI",Datos!K9/Datos!J9,(Datos!K9+Datos!AA9)/(Datos!J9+Datos!Z9))),IF(J_V="SI",Datos!K9/Datos!J9,(Datos!K9+Datos!AA9)/(Datos!J9+Datos!Z9))," - ")</f>
        <v>1.1417190775681341</v>
      </c>
      <c r="BH9" s="764">
        <f>IF(ISNUMBER(((IF(J_V="SI",Datos!L9/Datos!K9,(Datos!L9+Datos!AB9)/(Datos!K9+Datos!AA9)))*11)/factor_trimestre),((IF(J_V="SI",Datos!L9/Datos!K9,(Datos!L9+Datos!AB9)/(Datos!K9+Datos!AA9)))*11)/factor_trimestre," - ")</f>
        <v>13.737421961072346</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-2.1135185431343878E-2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57</v>
      </c>
      <c r="G10" s="543">
        <f>IF(ISNUMBER(Datos!I10),Datos!I10," - ")</f>
        <v>57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35</v>
      </c>
      <c r="AC10" s="547">
        <f>IF(ISNUMBER(Datos!Q10),Datos!Q10," - ")</f>
        <v>11</v>
      </c>
      <c r="AD10" s="549"/>
      <c r="AE10" s="563"/>
      <c r="AF10" s="551">
        <f>IF(ISNUMBER(Datos!L10),Datos!L10,"-")</f>
        <v>55</v>
      </c>
      <c r="AG10" s="549"/>
      <c r="AH10" s="549"/>
      <c r="AI10" s="549"/>
      <c r="AJ10" s="549"/>
      <c r="AK10" s="549"/>
      <c r="AL10" s="550"/>
      <c r="AM10" s="766">
        <f>IF(ISNUMBER(Datos!R10),Datos!R10," - ")</f>
        <v>36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14</v>
      </c>
      <c r="BE10" s="693" t="str">
        <f>IF(ISNUMBER(Datos!BW10),Datos!BW10," - ")</f>
        <v xml:space="preserve"> - </v>
      </c>
      <c r="BF10" s="762" t="str">
        <f>IF(ISNUMBER(Datos!BX10),Datos!BX10," - ")</f>
        <v xml:space="preserve"> - </v>
      </c>
      <c r="BG10" s="763">
        <f>IF(ISNUMBER(Datos!K10/Datos!J10),Datos!K10/Datos!J10," - ")</f>
        <v>1.0606060606060606</v>
      </c>
      <c r="BH10" s="764">
        <f>IF(ISNUMBER(((Datos!L10/Datos!K10)*11)/factor_trimestre),((Datos!L10/Datos!K10)*11)/factor_trimestre," - ")</f>
        <v>4.7142857142857144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-5.2631578947368418E-2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57</v>
      </c>
      <c r="G14" s="1197">
        <f t="shared" si="1"/>
        <v>57</v>
      </c>
      <c r="H14" s="1198">
        <f t="shared" si="1"/>
        <v>0</v>
      </c>
      <c r="I14" s="1197">
        <f t="shared" si="1"/>
        <v>0</v>
      </c>
      <c r="J14" s="1164">
        <f t="shared" si="1"/>
        <v>0</v>
      </c>
      <c r="K14" s="1164">
        <f t="shared" si="1"/>
        <v>0</v>
      </c>
      <c r="L14" s="1198">
        <f t="shared" si="1"/>
        <v>0</v>
      </c>
      <c r="M14" s="1198">
        <f t="shared" si="1"/>
        <v>0</v>
      </c>
      <c r="N14" s="1198">
        <f t="shared" si="1"/>
        <v>118</v>
      </c>
      <c r="O14" s="1199">
        <f t="shared" si="1"/>
        <v>0</v>
      </c>
      <c r="P14" s="1199">
        <f t="shared" si="1"/>
        <v>0</v>
      </c>
      <c r="Q14" s="1198">
        <f t="shared" si="1"/>
        <v>552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35</v>
      </c>
      <c r="AC14" s="1198">
        <f t="shared" si="2"/>
        <v>713</v>
      </c>
      <c r="AD14" s="1198">
        <f t="shared" si="2"/>
        <v>0</v>
      </c>
      <c r="AE14" s="1198">
        <f t="shared" si="2"/>
        <v>0</v>
      </c>
      <c r="AF14" s="1198">
        <f t="shared" si="2"/>
        <v>55</v>
      </c>
      <c r="AG14" s="1198">
        <f t="shared" si="2"/>
        <v>0</v>
      </c>
      <c r="AH14" s="1198">
        <f t="shared" si="2"/>
        <v>267</v>
      </c>
      <c r="AI14" s="1198">
        <f t="shared" si="2"/>
        <v>0</v>
      </c>
      <c r="AJ14" s="1198">
        <f t="shared" si="2"/>
        <v>0</v>
      </c>
      <c r="AK14" s="1198">
        <f t="shared" si="2"/>
        <v>0</v>
      </c>
      <c r="AL14" s="1198">
        <f t="shared" si="2"/>
        <v>0</v>
      </c>
      <c r="AM14" s="1198">
        <f t="shared" si="2"/>
        <v>7400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1229</v>
      </c>
      <c r="BD14" s="1198">
        <f t="shared" si="2"/>
        <v>575</v>
      </c>
      <c r="BE14" s="1198">
        <f t="shared" si="2"/>
        <v>0</v>
      </c>
      <c r="BF14" s="1198">
        <f t="shared" si="2"/>
        <v>0</v>
      </c>
      <c r="BG14" s="1198">
        <f>IF(ISNUMBER(Datos!K14/Datos!J14),Datos!K14/Datos!J14," - ")</f>
        <v>1.1299999999999999</v>
      </c>
      <c r="BH14" s="1202">
        <f>IF(ISNUMBER(((Datos!L14/Datos!K14)*11)/factor_trimestre),((Datos!L14/Datos!K14)*11)/factor_trimestre," - ")</f>
        <v>14.148133897652945</v>
      </c>
      <c r="BI14" s="1198">
        <f>IF(ISNUMBER('Resol  Asuntos'!D14/NºAsuntos!G14),'Resol  Asuntos'!D14/NºAsuntos!G14," - ")</f>
        <v>0.44561276287164614</v>
      </c>
      <c r="BJ14" s="1198" t="str">
        <f>IF(ISNUMBER(Datos!CI14/Datos!CJ14),Datos!CI14/Datos!CJ14," - ")</f>
        <v xml:space="preserve"> - </v>
      </c>
      <c r="BK14" s="1198">
        <f>SUBTOTAL(9,BK8:BK13)</f>
        <v>0</v>
      </c>
      <c r="BL14" s="1198">
        <f>IF(ISNUMBER((I14-AB14+L14)/(F14)),(I14-AB14+L14)/(F14)," - ")</f>
        <v>-0.61403508771929827</v>
      </c>
      <c r="BM14" s="1203">
        <f>SUBTOTAL(9,BM9:BM13)</f>
        <v>-7.3766764378712296E-2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673</v>
      </c>
      <c r="G16" s="743">
        <f>IF(ISNUMBER(IF(D_I="SI",Datos!I16,Datos!I16+Datos!AC16)),IF(D_I="SI",Datos!I16,Datos!I16+Datos!AC16)," - ")</f>
        <v>666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1648</v>
      </c>
      <c r="AC16" s="240">
        <f>IF(ISNUMBER(Datos!Q16),Datos!Q16," - ")</f>
        <v>93</v>
      </c>
      <c r="AD16" s="374"/>
      <c r="AE16" s="562"/>
      <c r="AF16" s="741">
        <f>IF(ISNUMBER(IF(D_I="SI",Datos!L16,Datos!L16+Datos!AF16)),IF(D_I="SI",Datos!L16,Datos!L16+Datos!AF16)," - ")</f>
        <v>608</v>
      </c>
      <c r="AG16" s="374"/>
      <c r="AH16" s="374"/>
      <c r="AI16" s="374"/>
      <c r="AJ16" s="549"/>
      <c r="AK16" s="374"/>
      <c r="AL16" s="545"/>
      <c r="AM16" s="375">
        <f>IF(ISNUMBER(Datos!R16),Datos!R16," - ")</f>
        <v>220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223</v>
      </c>
      <c r="BD16" s="243">
        <f>IF(ISNUMBER(Datos!N16),Datos!N16," - ")</f>
        <v>1088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1.0410612760581175</v>
      </c>
      <c r="BH16" s="764">
        <f>IF(ISNUMBER(((IF(D_I="SI",Datos!L16/Datos!K16,(Datos!L16+Datos!AF16)/(Datos!K16+Datos!AE16)))*11)/factor_trimestre),((IF(D_I="SI",Datos!L16/Datos!K16,(Datos!L16+Datos!AF16)/(Datos!K16+Datos!AE16)))*11)/factor_trimestre," - ")</f>
        <v>1.1067961165048543</v>
      </c>
      <c r="BI16" s="266">
        <f>IF(ISNUMBER('Resol  Asuntos'!D16/NºAsuntos!G16),'Resol  Asuntos'!D16/NºAsuntos!G16," - ")</f>
        <v>0.13531553398058252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0</v>
      </c>
      <c r="G17" s="743">
        <f>IF(ISNUMBER(IF(D_I="SI",Datos!I17,Datos!I17+Datos!AC17)),IF(D_I="SI",Datos!I17,Datos!I17+Datos!AC17)," - ")</f>
        <v>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0</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153</v>
      </c>
      <c r="AC18" s="547">
        <f>IF(ISNUMBER(Datos!Q18),Datos!Q18," - ")</f>
        <v>5</v>
      </c>
      <c r="AD18" s="549"/>
      <c r="AE18" s="562"/>
      <c r="AF18" s="551">
        <f>IF(ISNUMBER(Datos!L18),Datos!L18,"-")</f>
        <v>120</v>
      </c>
      <c r="AG18" s="549"/>
      <c r="AH18" s="549"/>
      <c r="AI18" s="549"/>
      <c r="AJ18" s="549"/>
      <c r="AK18" s="549"/>
      <c r="AL18" s="550"/>
      <c r="AM18" s="766">
        <f>IF(ISNUMBER(Datos!R18),Datos!R18," - ")</f>
        <v>10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132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0.96226415094339623</v>
      </c>
      <c r="BH18" s="764">
        <f>IF(ISNUMBER(((IF(D_I="SI",Datos!L18/Datos!K18,(Datos!L18+Datos!AF18)/(Datos!K18+Datos!AE18)))*11)/factor_trimestre),((IF(D_I="SI",Datos!L18/Datos!K18,(Datos!L18+Datos!AF18)/(Datos!K18+Datos!AE18)))*11)/factor_trimestre," - ")</f>
        <v>2.3529411764705883</v>
      </c>
      <c r="BI18" s="763">
        <f>IF(ISNUMBER('Resol  Asuntos'!D18/NºAsuntos!G18),'Resol  Asuntos'!D18/NºAsuntos!G18," - ")</f>
        <v>6.535947712418301E-2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673</v>
      </c>
      <c r="G23" s="1197">
        <f>SUBTOTAL(9,G16:G22)</f>
        <v>772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1801</v>
      </c>
      <c r="AC23" s="1198">
        <f t="shared" si="5"/>
        <v>98</v>
      </c>
      <c r="AD23" s="1198">
        <f t="shared" si="5"/>
        <v>0</v>
      </c>
      <c r="AE23" s="1198">
        <f t="shared" si="5"/>
        <v>0</v>
      </c>
      <c r="AF23" s="1198">
        <f t="shared" si="5"/>
        <v>728</v>
      </c>
      <c r="AG23" s="1198">
        <f t="shared" si="5"/>
        <v>0</v>
      </c>
      <c r="AH23" s="1198">
        <f t="shared" si="5"/>
        <v>0</v>
      </c>
      <c r="AI23" s="1198">
        <f t="shared" si="5"/>
        <v>0</v>
      </c>
      <c r="AJ23" s="1198">
        <f t="shared" si="5"/>
        <v>0</v>
      </c>
      <c r="AK23" s="1198">
        <f t="shared" si="5"/>
        <v>0</v>
      </c>
      <c r="AL23" s="1198">
        <f t="shared" si="5"/>
        <v>0</v>
      </c>
      <c r="AM23" s="1198">
        <f t="shared" si="5"/>
        <v>230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233</v>
      </c>
      <c r="BD23" s="1198">
        <f t="shared" si="5"/>
        <v>1220</v>
      </c>
      <c r="BE23" s="1198">
        <f t="shared" si="5"/>
        <v>0</v>
      </c>
      <c r="BF23" s="1198">
        <f t="shared" si="5"/>
        <v>0</v>
      </c>
      <c r="BG23" s="1198">
        <f>IF(ISNUMBER(Datos!K23/Datos!J23),Datos!K23/Datos!J23," - ")</f>
        <v>1.0338691159586682</v>
      </c>
      <c r="BH23" s="1202">
        <f>IF(ISNUMBER(((Datos!L23/Datos!K23)*11)/factor_trimestre),((Datos!L23/Datos!K23)*11)/factor_trimestre," - ")</f>
        <v>1.212659633536924</v>
      </c>
      <c r="BI23" s="1198">
        <f>SUBTOTAL(9,BI16:BI22)</f>
        <v>0.20067501110476554</v>
      </c>
      <c r="BJ23" s="1198">
        <f>SUBTOTAL(9,BJ16:BJ22)</f>
        <v>0</v>
      </c>
      <c r="BK23" s="1198">
        <f>SUBTOTAL(9,BK16:BK22)</f>
        <v>0</v>
      </c>
      <c r="BL23" s="1198">
        <f>IF(ISNUMBER((I23-AB23+L23)/(F23)),(I23-AB23+L23)/(F23)," - ")</f>
        <v>-2.6760772659732539</v>
      </c>
      <c r="BM23" s="1205">
        <f>IF(ISNUMBER((Datos!P23-Datos!Q23)/(Datos!R23-Datos!P23+Datos!Q23)),(Datos!P23-Datos!Q23)/(Datos!R23-Datos!P23+Datos!Q23)," - ")</f>
        <v>-4.5643153526970952E-2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730</v>
      </c>
      <c r="G31" s="1117">
        <f t="shared" si="18"/>
        <v>829</v>
      </c>
      <c r="H31" s="1119">
        <f t="shared" si="18"/>
        <v>0</v>
      </c>
      <c r="I31" s="1117">
        <f t="shared" si="18"/>
        <v>0</v>
      </c>
      <c r="J31" s="1119">
        <f t="shared" si="18"/>
        <v>0</v>
      </c>
      <c r="K31" s="1119">
        <f t="shared" si="18"/>
        <v>0</v>
      </c>
      <c r="L31" s="1180">
        <f t="shared" si="18"/>
        <v>0</v>
      </c>
      <c r="M31" s="1180">
        <f t="shared" si="18"/>
        <v>0</v>
      </c>
      <c r="N31" s="1180">
        <f t="shared" si="18"/>
        <v>118</v>
      </c>
      <c r="O31" s="1180">
        <f t="shared" si="18"/>
        <v>0</v>
      </c>
      <c r="P31" s="1180">
        <f t="shared" si="18"/>
        <v>0</v>
      </c>
      <c r="Q31" s="1119">
        <f t="shared" si="18"/>
        <v>639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1836</v>
      </c>
      <c r="AC31" s="1118">
        <f t="shared" si="19"/>
        <v>811</v>
      </c>
      <c r="AD31" s="1118">
        <f t="shared" si="19"/>
        <v>0</v>
      </c>
      <c r="AE31" s="1118">
        <f t="shared" si="19"/>
        <v>0</v>
      </c>
      <c r="AF31" s="1125">
        <f t="shared" si="19"/>
        <v>783</v>
      </c>
      <c r="AG31" s="1125">
        <f t="shared" si="19"/>
        <v>0</v>
      </c>
      <c r="AH31" s="1125">
        <f t="shared" si="19"/>
        <v>267</v>
      </c>
      <c r="AI31" s="1125">
        <f t="shared" si="19"/>
        <v>0</v>
      </c>
      <c r="AJ31" s="1118">
        <f t="shared" si="19"/>
        <v>0</v>
      </c>
      <c r="AK31" s="1125">
        <f t="shared" si="19"/>
        <v>0</v>
      </c>
      <c r="AL31" s="1125">
        <f t="shared" si="19"/>
        <v>0</v>
      </c>
      <c r="AM31" s="1125">
        <f t="shared" si="19"/>
        <v>7630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1462</v>
      </c>
      <c r="BD31" s="1117">
        <f t="shared" si="19"/>
        <v>1795</v>
      </c>
      <c r="BE31" s="1117">
        <f t="shared" si="19"/>
        <v>0</v>
      </c>
      <c r="BF31" s="1127">
        <f t="shared" si="19"/>
        <v>0</v>
      </c>
      <c r="BG31" s="1223">
        <f>IF(ISNUMBER(Datos!K31/Datos!J31),Datos!K31/Datos!J31," - ")</f>
        <v>1.0885700148441366</v>
      </c>
      <c r="BH31" s="1223">
        <f>IF(ISNUMBER(((Datos!L31/Datos!K31)*11)/factor_trimestre),((Datos!L31/Datos!K31)*11)/factor_trimestre," - ")</f>
        <v>8.853409090909091</v>
      </c>
      <c r="BI31" s="1103">
        <f>IF(ISNUMBER(Datos!J31/Datos!I31),Datos!J31/Datos!I31," - ")</f>
        <v>0.26785950960901261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-2.515068493150685</v>
      </c>
      <c r="BM31" s="1188">
        <f>IF(ISNUMBER((Datos!P31-Datos!Q31+R31)/(Datos!R31-Datos!P31+Datos!Q31-R31)),(Datos!P31-Datos!Q31+R31)/(Datos!R31-Datos!P31+Datos!Q31-R31)," - ")</f>
        <v>-2.2045629325813894E-2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207.25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2.3295709014312749</v>
      </c>
      <c r="F33" s="673">
        <f>IF(ISNUMBER(STDEV(F8:F30)),STDEV(F8:F30),"-")</f>
        <v>318.28753098566773</v>
      </c>
      <c r="G33" s="674">
        <f>IF(ISNUMBER(STDEV(G8:G30)),STDEV(G8:G30),"-")</f>
        <v>319.29688379312444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783.75615741486479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519.07235633494406</v>
      </c>
      <c r="BD33" s="673"/>
      <c r="BE33" s="673">
        <f>IF(ISNUMBER(STDEV(BE8:BE30)),STDEV(BE8:BE30),"-")</f>
        <v>0</v>
      </c>
      <c r="BF33" s="678">
        <f>IF(ISNUMBER(STDEV(BF8:BF30)),STDEV(BF8:BF30),"-")</f>
        <v>0</v>
      </c>
      <c r="BG33" s="1052">
        <f>IF(ISNUMBER(STDEV(BG8:BG30)),STDEV(BG8:BG30),"-")</f>
        <v>6.6568859760960025E-2</v>
      </c>
      <c r="BH33" s="1058">
        <f>IF(ISNUMBER(STDEV(BH8:BH30)),STDEV(BH8:BH30),"-")</f>
        <v>6.1287223921642875</v>
      </c>
      <c r="BI33" s="273">
        <f>IF(ISNUMBER(STDEV(BI8:BI30)),STDEV(BI8:BI30),"-")</f>
        <v>0.16541549672897476</v>
      </c>
      <c r="BJ33" s="244" t="str">
        <f>IF(ISNUMBER(BL33/BM33),BL33/BM33," - ")</f>
        <v xml:space="preserve"> - </v>
      </c>
      <c r="BK33" s="709"/>
      <c r="BL33" s="681">
        <f>IF(ISNUMBER(STDEV(BL8:BL30)),STDEV(BL8:BL30),"-")</f>
        <v>1.4580840073360513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hlK+XBlorhTfgjm8fWp2OLDGxxLS0ZuZLMQ1DG7jM2HBjG3+SuFTXP+O0PF5xwX2lfy89kFJpOSP3hf1vMyzQ==" saltValue="GAz5TWzq88gXYnbtefsn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CADIZ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543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702</v>
      </c>
      <c r="AA9" s="551" t="str">
        <f>IF(ISNUMBER(IF(J_V="SI",Datos!L9,Datos!L9+Datos!AB9)-IF(Monitorios="SI",Datos!CD9,0)),
                          IF(J_V="SI",Datos!L9,Datos!L9+Datos!AB9)-IF(Monitorios="SI",Datos!CD9,0),
                          " - ")</f>
        <v xml:space="preserve"> - </v>
      </c>
      <c r="AB9" s="549"/>
      <c r="AC9" s="549"/>
      <c r="AD9" s="563"/>
      <c r="AE9" s="563">
        <f>IF(ISNUMBER(Datos!R9),Datos!R9," - ")</f>
        <v>7364</v>
      </c>
      <c r="AF9" s="693" t="str">
        <f>IF(ISNUMBER(Datos!BV9),Datos!BV9," - ")</f>
        <v xml:space="preserve"> - </v>
      </c>
      <c r="AG9" s="552" t="str">
        <f>IF(ISNUMBER(Datos!DV9),Datos!DV9," - ")</f>
        <v xml:space="preserve"> - </v>
      </c>
      <c r="AH9" s="553"/>
      <c r="AI9" s="554"/>
      <c r="AJ9" s="552">
        <f>IF(ISNUMBER(Datos!M9),Datos!M9," - ")</f>
        <v>1221</v>
      </c>
      <c r="AK9" s="693">
        <f>IF(ISNUMBER(Datos!N9),Datos!N9," - ")</f>
        <v>561</v>
      </c>
      <c r="AL9" s="693" t="str">
        <f>IF(ISNUMBER(Datos!BW9),Datos!BW9," - ")</f>
        <v xml:space="preserve"> - </v>
      </c>
      <c r="AM9" s="762" t="str">
        <f>IF(ISNUMBER(Datos!BX9),Datos!BX9," - ")</f>
        <v xml:space="preserve"> - </v>
      </c>
      <c r="AN9" s="763"/>
      <c r="AO9" s="764">
        <f>IF(ISNUMBER(((NºAsuntos!I9/NºAsuntos!G9)*11)/factor_trimestre),((NºAsuntos!I9/NºAsuntos!G9)*11)/factor_trimestre," - ")</f>
        <v>13.737421961072346</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-2.1135185431343878E-2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57</v>
      </c>
      <c r="G10" s="552">
        <f>IF(ISNUMBER(Datos!I10),Datos!I10," - ")</f>
        <v>57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35</v>
      </c>
      <c r="Z10" s="805">
        <f>IF(ISNUMBER(Datos!Q10),Datos!Q10," - ")</f>
        <v>11</v>
      </c>
      <c r="AA10" s="551">
        <f>IF(ISNUMBER(Datos!L10),Datos!L10,"-")</f>
        <v>55</v>
      </c>
      <c r="AB10" s="549"/>
      <c r="AC10" s="549"/>
      <c r="AD10" s="563"/>
      <c r="AE10" s="563">
        <f>IF(ISNUMBER(Datos!R10),Datos!R10," - ")</f>
        <v>36</v>
      </c>
      <c r="AF10" s="693" t="str">
        <f>IF(ISNUMBER(Datos!BV10),Datos!BV10," - ")</f>
        <v xml:space="preserve"> - </v>
      </c>
      <c r="AG10" s="552" t="str">
        <f>IF(ISNUMBER(Datos!DV10),Datos!DV10," - ")</f>
        <v xml:space="preserve"> - </v>
      </c>
      <c r="AH10" s="553"/>
      <c r="AI10" s="554"/>
      <c r="AJ10" s="552">
        <f>IF(ISNUMBER(Datos!M10),Datos!M10," - ")</f>
        <v>8</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4.7142857142857144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-5.2631578947368418E-2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57</v>
      </c>
      <c r="G14" s="1197">
        <f>SUBTOTAL(9,G8:G13)</f>
        <v>57</v>
      </c>
      <c r="H14" s="1211"/>
      <c r="I14" s="1197">
        <f t="shared" ref="I14:N14" si="1">SUBTOTAL(9,I8:I13)</f>
        <v>0</v>
      </c>
      <c r="J14" s="1164">
        <f t="shared" si="1"/>
        <v>0</v>
      </c>
      <c r="K14" s="1211">
        <f t="shared" si="1"/>
        <v>0</v>
      </c>
      <c r="L14" s="1211">
        <f t="shared" si="1"/>
        <v>0</v>
      </c>
      <c r="M14" s="1211">
        <f t="shared" si="1"/>
        <v>0</v>
      </c>
      <c r="N14" s="1211">
        <f t="shared" si="1"/>
        <v>552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35</v>
      </c>
      <c r="Z14" s="1210">
        <f t="shared" si="3"/>
        <v>713</v>
      </c>
      <c r="AA14" s="1199">
        <f t="shared" si="3"/>
        <v>55</v>
      </c>
      <c r="AB14" s="1199">
        <f t="shared" si="3"/>
        <v>0</v>
      </c>
      <c r="AC14" s="1199">
        <f t="shared" si="3"/>
        <v>0</v>
      </c>
      <c r="AD14" s="1199">
        <f t="shared" si="3"/>
        <v>0</v>
      </c>
      <c r="AE14" s="1199">
        <f t="shared" si="3"/>
        <v>7400</v>
      </c>
      <c r="AF14" s="1211">
        <f t="shared" si="3"/>
        <v>0</v>
      </c>
      <c r="AG14" s="1211">
        <f t="shared" si="3"/>
        <v>0</v>
      </c>
      <c r="AH14" s="1211">
        <f t="shared" si="3"/>
        <v>0</v>
      </c>
      <c r="AI14" s="1211">
        <f t="shared" si="3"/>
        <v>0</v>
      </c>
      <c r="AJ14" s="1211">
        <f t="shared" si="3"/>
        <v>1229</v>
      </c>
      <c r="AK14" s="1211">
        <f t="shared" si="3"/>
        <v>575</v>
      </c>
      <c r="AL14" s="1211">
        <f t="shared" si="3"/>
        <v>0</v>
      </c>
      <c r="AM14" s="1211">
        <f t="shared" si="3"/>
        <v>0</v>
      </c>
      <c r="AN14" s="1211">
        <f t="shared" si="3"/>
        <v>0</v>
      </c>
      <c r="AO14" s="1203">
        <f>IF(ISNUMBER(((NºAsuntos!I14/NºAsuntos!G14)*11)/factor_trimestre),((NºAsuntos!I14/NºAsuntos!G14)*11)/factor_trimestre," - ")</f>
        <v>13.62291515591008</v>
      </c>
      <c r="AP14" s="1213" t="str">
        <f>IF(ISNUMBER(Datos!CI14/Datos!CJ14),Datos!CI14/Datos!CJ14," - ")</f>
        <v xml:space="preserve"> - </v>
      </c>
      <c r="AQ14" s="1236">
        <f t="shared" ref="AQ14:AV14" si="4">SUBTOTAL(9,AQ9:AQ13)</f>
        <v>0</v>
      </c>
      <c r="AR14" s="1236">
        <f t="shared" si="4"/>
        <v>-7.3766764378712296E-2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673</v>
      </c>
      <c r="G16" s="552">
        <f>IF(ISNUMBER(IF(D_I="SI",Datos!I16,Datos!I16+Datos!AC16)),IF(D_I="SI",Datos!I16,Datos!I16+Datos!AC16)," - ")</f>
        <v>666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1648</v>
      </c>
      <c r="Z16" s="805">
        <f>IF(ISNUMBER(Datos!Q16),Datos!Q16," - ")</f>
        <v>93</v>
      </c>
      <c r="AA16" s="551">
        <f>IF(ISNUMBER(IF(D_I="SI",Datos!L16,Datos!L16+Datos!AF16)),IF(D_I="SI",Datos!L16,Datos!L16+Datos!AF16)," - ")</f>
        <v>608</v>
      </c>
      <c r="AB16" s="549"/>
      <c r="AC16" s="549"/>
      <c r="AD16" s="563"/>
      <c r="AE16" s="563">
        <f>IF(ISNUMBER(Datos!R16),Datos!R16," - ")</f>
        <v>220</v>
      </c>
      <c r="AF16" s="693" t="str">
        <f>IF(ISNUMBER(Datos!BV16),Datos!BV16," - ")</f>
        <v xml:space="preserve"> - </v>
      </c>
      <c r="AG16" s="552"/>
      <c r="AH16" s="553"/>
      <c r="AI16" s="554"/>
      <c r="AJ16" s="552">
        <f>IF(ISNUMBER(Datos!M16),Datos!M16," - ")</f>
        <v>223</v>
      </c>
      <c r="AK16" s="693">
        <f>IF(ISNUMBER(Datos!N16),Datos!N16," - ")</f>
        <v>1088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1.1067961165048543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0</v>
      </c>
      <c r="G17" s="552">
        <f>IF(ISNUMBER(IF(D_I="SI",Datos!I17,Datos!I17+Datos!AC17)),IF(D_I="SI",Datos!I17,Datos!I17+Datos!AC17)," - ")</f>
        <v>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0</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153</v>
      </c>
      <c r="Z18" s="805">
        <f>IF(ISNUMBER(Datos!Q18),Datos!Q18," - ")</f>
        <v>5</v>
      </c>
      <c r="AA18" s="551">
        <f>IF(ISNUMBER(Datos!L18),Datos!L18,"-")</f>
        <v>120</v>
      </c>
      <c r="AB18" s="549"/>
      <c r="AC18" s="549"/>
      <c r="AD18" s="563"/>
      <c r="AE18" s="563">
        <f>IF(ISNUMBER(Datos!R18),Datos!R18," - ")</f>
        <v>10</v>
      </c>
      <c r="AF18" s="693" t="str">
        <f>IF(ISNUMBER(Datos!BV18),Datos!BV18," - ")</f>
        <v xml:space="preserve"> - </v>
      </c>
      <c r="AG18" s="552" t="str">
        <f>IF(ISNUMBER(Datos!DV18),Datos!DV18," - ")</f>
        <v xml:space="preserve"> - </v>
      </c>
      <c r="AH18" s="553"/>
      <c r="AI18" s="554"/>
      <c r="AJ18" s="552">
        <f>IF(ISNUMBER(Datos!M18),Datos!M18," - ")</f>
        <v>10</v>
      </c>
      <c r="AK18" s="693">
        <f>IF(ISNUMBER(Datos!N18),Datos!N18," - ")</f>
        <v>132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2.3529411764705883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673</v>
      </c>
      <c r="G23" s="1197">
        <f>SUBTOTAL(9,G16:G22)</f>
        <v>772</v>
      </c>
      <c r="H23" s="1240">
        <f>SUBTOTAL(9,H16:H22)</f>
        <v>0</v>
      </c>
      <c r="I23" s="1217">
        <f>SUBTOTAL(9,I16:I22)</f>
        <v>0</v>
      </c>
      <c r="J23" s="1164">
        <f>SUBTOTAL(9,J15:J22)</f>
        <v>0</v>
      </c>
      <c r="K23" s="1240">
        <f t="shared" ref="K23:S23" si="5">SUBTOTAL(9,K16:K22)</f>
        <v>0</v>
      </c>
      <c r="L23" s="1240">
        <f t="shared" si="5"/>
        <v>0</v>
      </c>
      <c r="M23" s="1240">
        <f t="shared" si="5"/>
        <v>0</v>
      </c>
      <c r="N23" s="1240">
        <f t="shared" si="5"/>
        <v>87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1801</v>
      </c>
      <c r="Z23" s="1240">
        <f t="shared" si="6"/>
        <v>98</v>
      </c>
      <c r="AA23" s="1240">
        <f t="shared" si="6"/>
        <v>728</v>
      </c>
      <c r="AB23" s="1240">
        <f t="shared" si="6"/>
        <v>0</v>
      </c>
      <c r="AC23" s="1240">
        <f t="shared" si="6"/>
        <v>0</v>
      </c>
      <c r="AD23" s="1240">
        <f t="shared" si="6"/>
        <v>0</v>
      </c>
      <c r="AE23" s="1240">
        <f t="shared" si="6"/>
        <v>230</v>
      </c>
      <c r="AF23" s="1240">
        <f t="shared" si="6"/>
        <v>0</v>
      </c>
      <c r="AG23" s="1240">
        <f t="shared" si="6"/>
        <v>0</v>
      </c>
      <c r="AH23" s="1240">
        <f t="shared" si="6"/>
        <v>0</v>
      </c>
      <c r="AI23" s="1240">
        <f t="shared" si="6"/>
        <v>0</v>
      </c>
      <c r="AJ23" s="1240">
        <f t="shared" si="6"/>
        <v>233</v>
      </c>
      <c r="AK23" s="1240">
        <f t="shared" si="6"/>
        <v>1220</v>
      </c>
      <c r="AL23" s="1240">
        <f t="shared" si="6"/>
        <v>0</v>
      </c>
      <c r="AM23" s="1240">
        <f t="shared" si="6"/>
        <v>0</v>
      </c>
      <c r="AN23" s="1240">
        <f t="shared" si="6"/>
        <v>0</v>
      </c>
      <c r="AO23" s="1242">
        <f>IF(ISNUMBER(((NºAsuntos!I23/NºAsuntos!G23)*11)/factor_trimestre),((NºAsuntos!I23/NºAsuntos!G23)*11)/factor_trimestre," - ")</f>
        <v>1.212659633536924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730</v>
      </c>
      <c r="G31" s="1117">
        <f t="shared" si="12"/>
        <v>829</v>
      </c>
      <c r="H31" s="1118">
        <f t="shared" si="12"/>
        <v>0</v>
      </c>
      <c r="I31" s="1117">
        <f t="shared" si="12"/>
        <v>0</v>
      </c>
      <c r="J31" s="1119">
        <f t="shared" si="12"/>
        <v>0</v>
      </c>
      <c r="K31" s="1117">
        <f t="shared" si="12"/>
        <v>0</v>
      </c>
      <c r="L31" s="1120">
        <f t="shared" si="12"/>
        <v>0</v>
      </c>
      <c r="M31" s="1117">
        <f t="shared" si="12"/>
        <v>0</v>
      </c>
      <c r="N31" s="1118">
        <f t="shared" si="12"/>
        <v>639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1836</v>
      </c>
      <c r="Z31" s="1124">
        <f t="shared" si="13"/>
        <v>811</v>
      </c>
      <c r="AA31" s="1125">
        <f t="shared" si="13"/>
        <v>783</v>
      </c>
      <c r="AB31" s="1125">
        <f t="shared" si="13"/>
        <v>0</v>
      </c>
      <c r="AC31" s="1125">
        <f t="shared" si="13"/>
        <v>0</v>
      </c>
      <c r="AD31" s="1126">
        <f t="shared" si="13"/>
        <v>0</v>
      </c>
      <c r="AE31" s="1126">
        <f t="shared" si="13"/>
        <v>7630</v>
      </c>
      <c r="AF31" s="1127">
        <f t="shared" si="13"/>
        <v>0</v>
      </c>
      <c r="AG31" s="1128">
        <f t="shared" si="13"/>
        <v>0</v>
      </c>
      <c r="AH31" s="1129">
        <f t="shared" si="13"/>
        <v>0</v>
      </c>
      <c r="AI31" s="1127">
        <f t="shared" si="13"/>
        <v>0</v>
      </c>
      <c r="AJ31" s="1117">
        <f t="shared" si="13"/>
        <v>1462</v>
      </c>
      <c r="AK31" s="1117">
        <f t="shared" si="13"/>
        <v>1795</v>
      </c>
      <c r="AL31" s="1117">
        <f t="shared" si="13"/>
        <v>0</v>
      </c>
      <c r="AM31" s="1130">
        <f t="shared" si="13"/>
        <v>0</v>
      </c>
      <c r="AN31" s="1120">
        <f>IF(ISNUMBER(Datos!K31/Datos!J31),Datos!K31/Datos!J31," - ")</f>
        <v>1.0885700148441366</v>
      </c>
      <c r="AO31" s="1120">
        <f>IF(ISNUMBER(FIND("06",Criterios!A8,1)),(IF(ISNUMBER(((Datos!R31/Datos!Q31)*11)/factor_trimestre),((Datos!R31/Datos!Q31)*11)/factor_trimestre," - ")),(IF(ISNUMBER(((Datos!L31/Datos!K31)*11)/factor_trimestre),((Datos!L31/Datos!K31)*11)/factor_trimestre," - ")))</f>
        <v>8.853409090909091</v>
      </c>
      <c r="AP31" s="1131" t="str">
        <f>IF(ISNUMBER(Datos!CI31/Datos!CJ31),Datos!CI31/Datos!CJ31," - ")</f>
        <v xml:space="preserve"> - </v>
      </c>
      <c r="AQ31" s="1131">
        <f>IF(OR(ISNUMBER(FIND("01",Criterios!A8,1)),ISNUMBER(FIND("02",Criterios!A8,1)),ISNUMBER(FIND("03",Criterios!A8,1)),ISNUMBER(FIND("04",Criterios!A8,1))),(J31-Y31+K31)/(F31-K31),(I31-Y31+K31)/(F31-K31))</f>
        <v>-2.515068493150685</v>
      </c>
      <c r="AR31" s="1131">
        <f>IF(ISNUMBER((Datos!P31-Datos!Q31+O31)/(Datos!R31-Datos!P31+Datos!Q31-O31)),(Datos!P31-Datos!Q31+O31)/(Datos!R31-Datos!P31+Datos!Q31-O31)," - ")</f>
        <v>-2.2045629325813894E-2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207.25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318.28753098566773</v>
      </c>
      <c r="G33" s="674">
        <f>IF(ISNUMBER(STDEV(G8:G30)),STDEV(G8:G30),"-")</f>
        <v>319.29688379312444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519.07235633494406</v>
      </c>
      <c r="AK33" s="276"/>
      <c r="AL33" s="276">
        <f>IF(ISNUMBER(STDEV(AL8:AL30)),STDEV(AL8:AL30),"-")</f>
        <v>0</v>
      </c>
      <c r="AM33" s="278">
        <f>IF(ISNUMBER(STDEV(AM8:AM30)),STDEV(AM8:AM30),"-")</f>
        <v>0</v>
      </c>
      <c r="AN33" s="660">
        <f>IF(ISNUMBER(STDEV(AN8:AN30)),STDEV(AN8:AN30),"-")</f>
        <v>0</v>
      </c>
      <c r="AO33" s="661">
        <f>IF(ISNUMBER(STDEV(AO8:AO30)),STDEV(AO8:AO30),"-")</f>
        <v>5.9949928936526389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zRWXSbtwdmzy+qWHnPQrdAaUbGMHwshyhSHVJzS0G2kGH+dTZbuB0QAJJ9Kvj4SAUuShz2DOFjU2WuBnAnxnvw==" saltValue="IXH/hHbJ2xjzEKcqeHjz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mSKHe4sDoB8uqqKdAnXfpHSKNAUwvjRORD5nUdT1G+fHeJjKb+T9HJuD/11t4FlTgFKow89f2w5VJwprVy4Xg==" saltValue="Xvj0kpN8fameZ5cv7MIX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68ZiMTl9lTuarAUUq7zjE9lWhIoUpJwRyLIGNZGKCfSEE3zCaX1zJ0hRHJxNQqk14mczpOWrCwGCGPd3dvQjA==" saltValue="VHtZWcqRCrrmM7z+Zs1r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CADIZ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0.44561276287164614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0.31509580640981394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q/O4BMU5dDYcZHb1vBJ+1objmsvW0piV2TRckdyfeR+e+27LPY1u0X3MZg9NKqNJTOLnvho0n2s0rrnRzJRwGg==" saltValue="33l8n2XduOQYzU4RHxVl8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jqu8FrYtpwd4O+rN/GLjDjQpNX+QXdWTyi6DNdKALCTtCd2A+GLRaVqwldVf5pVcGcPvWKkJNb6+MIeJuQIkew==" saltValue="J2xYG6at+Ka2mLKJFRuP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CADIZ</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14595</v>
      </c>
      <c r="D9" s="452">
        <f>IF(ISNUMBER(C9/Datos!BH9),C9/Datos!BH9," - ")</f>
        <v>2432.5</v>
      </c>
      <c r="E9" s="451">
        <f>IF(ISNUMBER(IF(J_V="SI",Datos!J9,Datos!J9+Datos!Z9)),IF(J_V="SI",Datos!J9,Datos!J9+Datos!Z9)," - ")</f>
        <v>2385</v>
      </c>
      <c r="F9" s="452">
        <f>IF(ISNUMBER(E9/B9),E9/B9," - ")</f>
        <v>397.5</v>
      </c>
      <c r="G9" s="451">
        <f>IF(ISNUMBER(IF(J_V="SI",Datos!K9,Datos!K9+Datos!AA9)),IF(J_V="SI",Datos!K9,Datos!K9+Datos!AA9)," - ")</f>
        <v>2723</v>
      </c>
      <c r="H9" s="452">
        <f>IF(ISNUMBER(G9/B9),G9/B9," - ")</f>
        <v>453.83333333333331</v>
      </c>
      <c r="I9" s="451">
        <f>IF(ISNUMBER(IF(J_V="SI",Datos!L9,Datos!L9+Datos!AB9)),IF(J_V="SI",Datos!L9,Datos!L9+Datos!AB9)," - ")</f>
        <v>12469</v>
      </c>
      <c r="J9" s="452">
        <f>IF(ISNUMBER(I9/B9),I9/B9," - ")</f>
        <v>2078.1666666666665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57</v>
      </c>
      <c r="D10" s="452">
        <f>IF(ISNUMBER(C10/Datos!BH10),C10/Datos!BH10," - ")</f>
        <v>57</v>
      </c>
      <c r="E10" s="451">
        <f>IF(ISNUMBER(Datos!J10),Datos!J10," - ")</f>
        <v>33</v>
      </c>
      <c r="F10" s="452">
        <f>IF(ISNUMBER(E10/B10),E10/B10," - ")</f>
        <v>33</v>
      </c>
      <c r="G10" s="451">
        <f>IF(ISNUMBER(Datos!K10),Datos!K10," - ")</f>
        <v>35</v>
      </c>
      <c r="H10" s="452">
        <f>IF(ISNUMBER(G10/B10),G10/B10," - ")</f>
        <v>35</v>
      </c>
      <c r="I10" s="451">
        <f>IF(ISNUMBER(Datos!L10),Datos!L10," - ")</f>
        <v>55</v>
      </c>
      <c r="J10" s="452">
        <f>IF(ISNUMBER(I10/B10),I10/B10," - ")</f>
        <v>55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14652</v>
      </c>
      <c r="D14" s="1147" t="str">
        <f>IF(ISNUMBER(C14/Datos!BI14),C14/Datos!BI14," - ")</f>
        <v xml:space="preserve"> - </v>
      </c>
      <c r="E14" s="1146">
        <f>SUBTOTAL(9,E8:E13)</f>
        <v>2418</v>
      </c>
      <c r="F14" s="1147">
        <f>IF(ISNUMBER(E14/B14),E14/B14," - ")</f>
        <v>345.42857142857144</v>
      </c>
      <c r="G14" s="1146">
        <f>SUBTOTAL(9,G8:G13)</f>
        <v>2758</v>
      </c>
      <c r="H14" s="1147">
        <f>IF(ISNUMBER(G14/B14),G14/B14," - ")</f>
        <v>394</v>
      </c>
      <c r="I14" s="1146">
        <f>SUBTOTAL(9,I8:I13)</f>
        <v>12524</v>
      </c>
      <c r="J14" s="1147">
        <f>IF(ISNUMBER(I14/B14),I14/B14," - ")</f>
        <v>1789.1428571428571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666</v>
      </c>
      <c r="D16" s="452">
        <f>IF(ISNUMBER(C16/Datos!BH16),C16/Datos!BH16," - ")</f>
        <v>166.5</v>
      </c>
      <c r="E16" s="451">
        <f>IF(ISNUMBER(IF(D_I="SI",Datos!J16,Datos!J16+Datos!AD16)),IF(D_I="SI",Datos!J16,Datos!J16+Datos!AD16)," - ")</f>
        <v>1583</v>
      </c>
      <c r="F16" s="452">
        <f>IF(ISNUMBER(E16/B16),E16/B16," - ")</f>
        <v>395.75</v>
      </c>
      <c r="G16" s="451">
        <f>IF(ISNUMBER(IF(D_I="SI",Datos!K16,Datos!K16+Datos!AE16)),IF(D_I="SI",Datos!K16,Datos!K16+Datos!AE16)," - ")</f>
        <v>1648</v>
      </c>
      <c r="H16" s="452">
        <f>IF(ISNUMBER(G16/B16),G16/B16," - ")</f>
        <v>412</v>
      </c>
      <c r="I16" s="451">
        <f>IF(ISNUMBER(IF(D_I="SI",Datos!L16,Datos!L16+Datos!AF16)),IF(D_I="SI",Datos!L16,Datos!L16+Datos!AF16)," - ")</f>
        <v>608</v>
      </c>
      <c r="J16" s="452">
        <f>IF(ISNUMBER(I16/B16),I16/B16," - ")</f>
        <v>152</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106</v>
      </c>
      <c r="D18" s="452">
        <f>IF(ISNUMBER(C18/Datos!BH18),C18/Datos!BH18," - ")</f>
        <v>106</v>
      </c>
      <c r="E18" s="451">
        <f>IF(ISNUMBER(IF(D_I="SI",Datos!J18,Datos!J18+Datos!AD18)),IF(D_I="SI",Datos!J18,Datos!J18+Datos!AD18)," - ")</f>
        <v>159</v>
      </c>
      <c r="F18" s="452">
        <f>IF(ISNUMBER(E18/B18),E18/B18," - ")</f>
        <v>159</v>
      </c>
      <c r="G18" s="451">
        <f>IF(ISNUMBER(IF(D_I="SI",Datos!K18,Datos!K18+Datos!AE18)),IF(D_I="SI",Datos!K18,Datos!K18+Datos!AE18)," - ")</f>
        <v>153</v>
      </c>
      <c r="H18" s="452">
        <f>IF(ISNUMBER(G18/B18),G18/B18," - ")</f>
        <v>153</v>
      </c>
      <c r="I18" s="451">
        <f>IF(ISNUMBER(IF(D_I="SI",Datos!L18,Datos!L18+Datos!AF18)),IF(D_I="SI",Datos!L18,Datos!L18+Datos!AF18)," - ")</f>
        <v>120</v>
      </c>
      <c r="J18" s="452">
        <f>IF(ISNUMBER(I18/B18),I18/B18," - ")</f>
        <v>120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772</v>
      </c>
      <c r="D23" s="1147" t="str">
        <f>IF(ISNUMBER(C23/Datos!BI23),C23/Datos!BI23," - ")</f>
        <v xml:space="preserve"> - </v>
      </c>
      <c r="E23" s="1146">
        <f>SUBTOTAL(9,E15:E22)</f>
        <v>1742</v>
      </c>
      <c r="F23" s="1147">
        <f>IF(ISNUMBER(E23/B23),E23/B23," - ")</f>
        <v>348.4</v>
      </c>
      <c r="G23" s="1146">
        <f>SUBTOTAL(9,G15:G22)</f>
        <v>1801</v>
      </c>
      <c r="H23" s="1147">
        <f>IF(ISNUMBER(G23/B23),G23/B23," - ")</f>
        <v>360.2</v>
      </c>
      <c r="I23" s="1146">
        <f>SUBTOTAL(9,I15:I22)</f>
        <v>728</v>
      </c>
      <c r="J23" s="1147">
        <f>IF(ISNUMBER(I23/B23),I23/B23," - ")</f>
        <v>145.6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15424</v>
      </c>
      <c r="D31" s="1085" t="str">
        <f>IF(ISNUMBER(C31/Datos!BI31),C31/Datos!BI31," - ")</f>
        <v xml:space="preserve"> - </v>
      </c>
      <c r="E31" s="1084">
        <f>SUBTOTAL(9,E9:E30)</f>
        <v>4160</v>
      </c>
      <c r="F31" s="1085">
        <f>IF(ISNUMBER(E31/B31),E31/B31," - ")</f>
        <v>378.18181818181819</v>
      </c>
      <c r="G31" s="1084">
        <f>SUBTOTAL(9,G9:G30)</f>
        <v>4559</v>
      </c>
      <c r="H31" s="1085">
        <f>IF(ISNUMBER(G31/B31),G31/B31," - ")</f>
        <v>414.45454545454544</v>
      </c>
      <c r="I31" s="1084">
        <f>SUBTOTAL(9,I9:I30)</f>
        <v>13252</v>
      </c>
      <c r="J31" s="1085">
        <f>IF(ISNUMBER(I31/B31),I31/B31," - ")</f>
        <v>1204.7272727272727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aSftXnTiBPBgMENr86+OcQsbHa1XJo5thXvMe/TszYMiKb3stK9W7p7OtXlF5S2wyWjjf+pTKESfoHXSe5kYA==" saltValue="CA30r0GLnFcKbFnKGlFm9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CADIZ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57</v>
      </c>
      <c r="G10" s="906">
        <f>IF(ISNUMBER(Datos!I10),Datos!I10," - ")</f>
        <v>57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35</v>
      </c>
      <c r="AC10" s="905" t="str">
        <f>IF(ISNUMBER(IF(D_I="SI",DatosP!K18,DatosP!K18+DatosP!AE18)),IF(D_I="SI",DatosP!K18,DatosP!K18+DatosP!AE18)," - ")</f>
        <v xml:space="preserve"> - </v>
      </c>
      <c r="AD10" s="907"/>
      <c r="AE10" s="907"/>
      <c r="AF10" s="910">
        <f>IF(ISNUMBER(Datos!L10),Datos!L10,"-")</f>
        <v>55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4.7142857142857144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57</v>
      </c>
      <c r="G14" s="1256">
        <f t="shared" si="0"/>
        <v>57</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35</v>
      </c>
      <c r="AC14" s="1257">
        <f t="shared" si="1"/>
        <v>0</v>
      </c>
      <c r="AD14" s="1257">
        <f t="shared" si="1"/>
        <v>0</v>
      </c>
      <c r="AE14" s="1257">
        <f t="shared" si="1"/>
        <v>0</v>
      </c>
      <c r="AF14" s="1257">
        <f t="shared" si="1"/>
        <v>55</v>
      </c>
      <c r="AG14" s="1257">
        <f t="shared" si="1"/>
        <v>0</v>
      </c>
      <c r="AH14" s="1257">
        <f t="shared" si="1"/>
        <v>0</v>
      </c>
      <c r="AI14" s="1257">
        <f t="shared" si="1"/>
        <v>0</v>
      </c>
      <c r="AJ14" s="1257">
        <f t="shared" si="1"/>
        <v>0</v>
      </c>
      <c r="AK14" s="1257">
        <f t="shared" si="1"/>
        <v>0</v>
      </c>
      <c r="AL14" s="1257">
        <f t="shared" si="1"/>
        <v>8</v>
      </c>
      <c r="AM14" s="1257">
        <f t="shared" si="1"/>
        <v>14</v>
      </c>
      <c r="AN14" s="1257">
        <f t="shared" si="1"/>
        <v>0</v>
      </c>
      <c r="AO14" s="1257">
        <f t="shared" si="1"/>
        <v>0</v>
      </c>
      <c r="AP14" s="1262">
        <f>IF(ISNUMBER(((Datos!L14/Datos!K14)*11)/factor_trimestre),((Datos!L14/Datos!K14)*11)/factor_trimestre," - ")</f>
        <v>14.148133897652945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-0.61403508771929827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1.212659633536924</v>
      </c>
      <c r="AQ23" s="1262">
        <f>IF(ISNUMBER(((Datos!M23/Datos!L23)*11)/factor_trimestre),((Datos!M23/Datos!L23)*11)/factor_trimestre," - ")</f>
        <v>0.96016483516483508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-4.5643153526970952E-2</v>
      </c>
      <c r="AW23" s="1265">
        <f>IF(ISNUMBER((Datos!Q23-Datos!R23)/(Datos!S23-Datos!Q23+Datos!R23)),(Datos!Q23-Datos!R23)/(Datos!S23-Datos!Q23+Datos!R23)," - ")</f>
        <v>-0.13293051359516617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57</v>
      </c>
      <c r="G31" s="1278">
        <f t="shared" si="8"/>
        <v>57</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35</v>
      </c>
      <c r="AC31" s="1284">
        <f t="shared" si="9"/>
        <v>0</v>
      </c>
      <c r="AD31" s="1284">
        <f t="shared" si="9"/>
        <v>0</v>
      </c>
      <c r="AE31" s="1284">
        <f t="shared" si="9"/>
        <v>0</v>
      </c>
      <c r="AF31" s="1285">
        <f t="shared" si="9"/>
        <v>55</v>
      </c>
      <c r="AG31" s="1285">
        <f t="shared" si="9"/>
        <v>0</v>
      </c>
      <c r="AH31" s="1285">
        <f t="shared" si="9"/>
        <v>0</v>
      </c>
      <c r="AI31" s="1285">
        <f t="shared" si="9"/>
        <v>0</v>
      </c>
      <c r="AJ31" s="1286">
        <f t="shared" si="9"/>
        <v>0</v>
      </c>
      <c r="AK31" s="1286">
        <f t="shared" si="9"/>
        <v>0</v>
      </c>
      <c r="AL31" s="1278">
        <f t="shared" si="9"/>
        <v>8</v>
      </c>
      <c r="AM31" s="1278">
        <f t="shared" si="9"/>
        <v>14</v>
      </c>
      <c r="AN31" s="1278">
        <f t="shared" si="9"/>
        <v>0</v>
      </c>
      <c r="AO31" s="1278">
        <f t="shared" si="9"/>
        <v>0</v>
      </c>
      <c r="AP31" s="1278">
        <f>IF(ISNUMBER(((Datos!L31/Datos!K31)*11)/factor_trimestre),((Datos!L31/Datos!K31)*11)/factor_trimestre," - ")</f>
        <v>8.853409090909091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-0.61403508771929827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-2.2045629325813894E-2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31.22018577779447</v>
      </c>
      <c r="G33" s="1007">
        <f>IF(ISNUMBER(STDEV(G8:G30)),STDEV(G8:G30),"-")</f>
        <v>31.22018577779447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19.170289512680814</v>
      </c>
      <c r="AC33" s="1008">
        <f>IF(ISNUMBER(STDEV(AC8:AC30)),STDEV(AC8:AC30),"-")</f>
        <v>0</v>
      </c>
      <c r="AD33" s="1011"/>
      <c r="AE33" s="1011"/>
      <c r="AF33" s="1011"/>
      <c r="AG33" s="1011"/>
      <c r="AH33" s="1011"/>
      <c r="AI33" s="1011"/>
      <c r="AJ33" s="1012">
        <f>IF(ISNUMBER(STDEV(AJ8:AJ30)),STDEV(AJ8:AJ30),"-")</f>
        <v>0</v>
      </c>
      <c r="AK33" s="1014"/>
      <c r="AL33" s="1006">
        <f>IF(ISNUMBER(STDEV(AL8:AL30)),STDEV(AL8:AL30),"-")</f>
        <v>4.3817804600413286</v>
      </c>
      <c r="AM33" s="1006"/>
      <c r="AN33" s="1006">
        <f>IF(ISNUMBER(STDEV(AN8:AN30)),STDEV(AN8:AN30),"-")</f>
        <v>0</v>
      </c>
      <c r="AO33" s="1012">
        <f>IF(ISNUMBER(STDEV(AO8:AO30)),STDEV(AO8:AO30),"-")</f>
        <v>0</v>
      </c>
      <c r="AP33" s="1065">
        <f>IF(ISNUMBER(STDEV(AP8:AP30)),STDEV(AP8:AP30),"-")</f>
        <v>6.6906074860435174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V1133IaZicLBXvVhYIlauCr8Jgrcw9/TpGxMqsMMPnAxLCxF+uimyPeO6a4PuPa18neuDTy9yAeKhSvofUM8A==" saltValue="pW29KUzjVL12fpj6BoSj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CADIZ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kHKFRDRBH8VtUnMSnDNue7cMkwqbgkiR9CxPZjyWaZwQekdMU+a5S2gepPpHb6s8KPpo49pRb1SAXoMxrZy64w==" saltValue="dqWR9URe+T3vUruE8Zp0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CADIZ</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1221</v>
      </c>
      <c r="E9" s="452">
        <f t="shared" ref="E9:E14" si="0">IF(ISNUMBER(D9/B9),D9/B9," - ")</f>
        <v>203.5</v>
      </c>
      <c r="F9" s="451">
        <f>IF(ISNUMBER(Datos!N9),Datos!N9," - ")</f>
        <v>561</v>
      </c>
      <c r="G9" s="452">
        <f t="shared" ref="G9:G14" si="1">IF(ISNUMBER(F9/B9),F9/B9," - ")</f>
        <v>93.5</v>
      </c>
      <c r="H9" s="451">
        <f>IF(ISNUMBER(Datos!O9),Datos!O9," - ")</f>
        <v>860</v>
      </c>
      <c r="I9" s="452">
        <f>IF(ISNUMBER(H9/B9),H9/B9," - ")</f>
        <v>143.33333333333334</v>
      </c>
    </row>
    <row r="10" spans="1:9">
      <c r="A10" s="450" t="str">
        <f>Datos!A10</f>
        <v>Jdos. Violencia contra la mujer</v>
      </c>
      <c r="B10" s="480">
        <f>Datos!AO10</f>
        <v>1</v>
      </c>
      <c r="C10" s="458">
        <f>Datos!AQ10</f>
        <v>1</v>
      </c>
      <c r="D10" s="451">
        <f>IF(ISNUMBER(Datos!M10),Datos!M10," - ")</f>
        <v>8</v>
      </c>
      <c r="E10" s="452">
        <f>IF(ISNUMBER(D10/B10),D10/B10," - ")</f>
        <v>8</v>
      </c>
      <c r="F10" s="451">
        <f>IF(ISNUMBER(Datos!N10),Datos!N10," - ")</f>
        <v>14</v>
      </c>
      <c r="G10" s="452">
        <f>IF(ISNUMBER(F10/B10),F10/B10," - ")</f>
        <v>14</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1229</v>
      </c>
      <c r="E14" s="1147">
        <f t="shared" si="0"/>
        <v>175.57142857142858</v>
      </c>
      <c r="F14" s="1146">
        <f>SUBTOTAL(9,F9:F13)</f>
        <v>575</v>
      </c>
      <c r="G14" s="1147">
        <f t="shared" si="1"/>
        <v>82.142857142857139</v>
      </c>
      <c r="H14" s="1146">
        <f>SUBTOTAL(9,H9:H13)</f>
        <v>869</v>
      </c>
      <c r="I14" s="1147">
        <f>IF(ISNUMBER(H14/B14),H14/B14," - ")</f>
        <v>124.14285714285714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223</v>
      </c>
      <c r="E16" s="452">
        <f t="shared" ref="E16:E23" si="3">IF(ISNUMBER(D16/B16),D16/B16," - ")</f>
        <v>55.75</v>
      </c>
      <c r="F16" s="451">
        <f>IF(ISNUMBER(Datos!N16),Datos!N16," - ")</f>
        <v>1088</v>
      </c>
      <c r="G16" s="452">
        <f t="shared" ref="G16:G23" si="4">IF(ISNUMBER(F16/B16),F16/B16," - ")</f>
        <v>272</v>
      </c>
      <c r="H16" s="451">
        <f>IF(ISNUMBER(Datos!O16),Datos!O16," - ")</f>
        <v>36</v>
      </c>
      <c r="I16" s="452">
        <f t="shared" ref="I16:I22" si="5">IF(ISNUMBER(H16/B16),H16/B16," - ")</f>
        <v>9</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10</v>
      </c>
      <c r="E18" s="452">
        <f>IF(ISNUMBER(D18/B18),D18/B18," - ")</f>
        <v>10</v>
      </c>
      <c r="F18" s="451">
        <f>IF(ISNUMBER(Datos!N18),Datos!N18," - ")</f>
        <v>132</v>
      </c>
      <c r="G18" s="452">
        <f>IF(ISNUMBER(F18/B18),F18/B18," - ")</f>
        <v>132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233</v>
      </c>
      <c r="E23" s="1147">
        <f t="shared" si="3"/>
        <v>46.6</v>
      </c>
      <c r="F23" s="1146">
        <f>SUBTOTAL(9,F16:F22)</f>
        <v>1220</v>
      </c>
      <c r="G23" s="1147">
        <f t="shared" si="4"/>
        <v>244</v>
      </c>
      <c r="H23" s="1146">
        <f>SUBTOTAL(9,H16:H22)</f>
        <v>36</v>
      </c>
      <c r="I23" s="1147">
        <f>IF(ISNUMBER(H23/B23),H23/B23," - ")</f>
        <v>7.2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1462</v>
      </c>
      <c r="E31" s="1085">
        <f>IF(ISNUMBER(D31/B31),D31/B31," - ")</f>
        <v>132.90909090909091</v>
      </c>
      <c r="F31" s="1084">
        <f>SUBTOTAL(9,F8:F30)</f>
        <v>1795</v>
      </c>
      <c r="G31" s="1085">
        <f>IF(ISNUMBER(F31/B31),F31/B31," - ")</f>
        <v>163.18181818181819</v>
      </c>
      <c r="H31" s="1084">
        <f>SUBTOTAL(9,H8:H30)</f>
        <v>905</v>
      </c>
      <c r="I31" s="1085">
        <f>IF(ISNUMBER(H31/B31),H31/B31," - ")</f>
        <v>82.272727272727266</v>
      </c>
    </row>
    <row r="34" spans="1:1">
      <c r="A34" s="439" t="str">
        <f>Criterios!A4</f>
        <v>Fecha Informe: 05 may. 2023</v>
      </c>
    </row>
    <row r="39" spans="1:1">
      <c r="A39" s="462"/>
    </row>
  </sheetData>
  <sheetProtection algorithmName="SHA-512" hashValue="GdaG++KSsRRetr2FLu6EbS1OAfQCBaMPOxOm18dJn5nYTMyayIdvnF/89a3Tty+RLUvugq1j2uH9Ceb7IK4xYg==" saltValue="10LQOs3xVeZQYVVt0KJE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CADIZ</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543</v>
      </c>
      <c r="C9" s="489">
        <f>IF(ISNUMBER(Datos!Q9),Datos!Q9," - ")</f>
        <v>702</v>
      </c>
      <c r="D9" s="456">
        <f>IF(ISNUMBER(Datos!R9),Datos!R9," - ")</f>
        <v>7364</v>
      </c>
    </row>
    <row r="10" spans="1:4">
      <c r="A10" s="450" t="str">
        <f>Datos!A10</f>
        <v>Jdos. Violencia contra la mujer</v>
      </c>
      <c r="B10" s="488">
        <f>IF(ISNUMBER(Datos!P10),Datos!P10," - ")</f>
        <v>9</v>
      </c>
      <c r="C10" s="489">
        <f>IF(ISNUMBER(Datos!Q10),Datos!Q10," - ")</f>
        <v>11</v>
      </c>
      <c r="D10" s="456">
        <f>IF(ISNUMBER(Datos!R10),Datos!R10," - ")</f>
        <v>36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552</v>
      </c>
      <c r="C14" s="1150">
        <f>SUBTOTAL(9,C9:C13)</f>
        <v>713</v>
      </c>
      <c r="D14" s="1148">
        <f>SUBTOTAL(9,D9:D13)</f>
        <v>7400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85</v>
      </c>
      <c r="C16" s="489">
        <f>IF(ISNUMBER(Datos!Q16),Datos!Q16," - ")</f>
        <v>93</v>
      </c>
      <c r="D16" s="456">
        <f>IF(ISNUMBER(Datos!R16),Datos!R16," - ")</f>
        <v>220</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2</v>
      </c>
      <c r="C18" s="489">
        <f>IF(ISNUMBER(Datos!Q18),Datos!Q18," - ")</f>
        <v>5</v>
      </c>
      <c r="D18" s="456">
        <f>IF(ISNUMBER(Datos!R18),Datos!R18," - ")</f>
        <v>10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87</v>
      </c>
      <c r="C23" s="1150">
        <f>SUBTOTAL(9,C16:C22)</f>
        <v>98</v>
      </c>
      <c r="D23" s="1148">
        <f>SUBTOTAL(9,D16:D22)</f>
        <v>230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639</v>
      </c>
      <c r="C31" s="1089">
        <f>SUBTOTAL(9,C8:C30)</f>
        <v>811</v>
      </c>
      <c r="D31" s="1090">
        <f>SUBTOTAL(9,D8:D30)</f>
        <v>7630</v>
      </c>
    </row>
    <row r="32" spans="1:4" ht="7.5" customHeight="1"/>
    <row r="33" spans="1:1" ht="6" customHeight="1"/>
    <row r="34" spans="1:1">
      <c r="A34" s="439" t="str">
        <f>Criterios!A4</f>
        <v>Fecha Informe: 05 may. 2023</v>
      </c>
    </row>
    <row r="39" spans="1:1">
      <c r="A39" s="462"/>
    </row>
  </sheetData>
  <sheetProtection algorithmName="SHA-512" hashValue="44gv6UM3tylaZ3lhK86PEHx6IGN1JRS2cdHlrfFTrfXPK6weDpfNS9BcWLHmUI8Lc8L5NTCFX/nmqd5OczJWuQ==" saltValue="T3fWmdV4rZTPKdV3x67U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CADIZ</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-2.8101484983685157E-2</v>
      </c>
      <c r="C9" s="515">
        <f>IF(ISNUMBER(
   IF(J_V="SI",(Datos!J9-Datos!T9)/Datos!T9,(Datos!J9+Datos!Z9-(Datos!T9+Datos!AH9))/(Datos!T9+Datos!AH9))
     ),IF(J_V="SI",(Datos!J9-Datos!T9)/Datos!T9,(Datos!J9+Datos!Z9-(Datos!T9+Datos!AH9))/(Datos!T9+Datos!AH9))," - ")</f>
        <v>-0.14546757434611252</v>
      </c>
      <c r="D9" s="515">
        <f>IF(ISNUMBER(
   IF(J_V="SI",(Datos!K9-Datos!U9)/Datos!U9,(Datos!K9+Datos!AA9-(Datos!U9+Datos!AI9))/(Datos!U9+Datos!AI9))
     ),IF(J_V="SI",(Datos!K9-Datos!U9)/Datos!U9,(Datos!K9+Datos!AA9-(Datos!U9+Datos!AI9))/(Datos!U9+Datos!AI9))," - ")</f>
        <v>4.249617151607963E-2</v>
      </c>
      <c r="E9" s="515">
        <f>IF(ISNUMBER(
   IF(J_V="SI",(Datos!L9-Datos!V9)/Datos!V9,(Datos!L9+Datos!AB9-(Datos!V9+Datos!AJ9))/(Datos!V9+Datos!AJ9))
     ),IF(J_V="SI",(Datos!L9-Datos!V9)/Datos!V9,(Datos!L9+Datos!AB9-(Datos!V9+Datos!AJ9))/(Datos!V9+Datos!AJ9))," - ")</f>
        <v>-0.18455300503564187</v>
      </c>
      <c r="F9" s="515">
        <f>IF(ISNUMBER((Datos!M9-Datos!W9)/Datos!W9),(Datos!M9-Datos!W9)/Datos!W9," - ")</f>
        <v>0.13160333642261354</v>
      </c>
      <c r="G9" s="516">
        <f>IF(ISNUMBER((Datos!N9-Datos!X9)/Datos!X9),(Datos!N9-Datos!X9)/Datos!X9," - ")</f>
        <v>-9.5161290322580638E-2</v>
      </c>
      <c r="H9" s="514">
        <f>IF(ISNUMBER(((NºAsuntos!G9/NºAsuntos!E9)-Datos!BD9)/Datos!BD9),((NºAsuntos!G9/NºAsuntos!E9)-Datos!BD9)/Datos!BD9," - ")</f>
        <v>0.21996092859596558</v>
      </c>
      <c r="I9" s="515">
        <f>IF(ISNUMBER(((NºAsuntos!I9/NºAsuntos!G9)-Datos!BE9)/Datos!BE9),((NºAsuntos!I9/NºAsuntos!G9)-Datos!BE9)/Datos!BE9," - ")</f>
        <v>-0.21779377493686986</v>
      </c>
      <c r="J9" s="521">
        <f>IF(ISNUMBER((('Resol  Asuntos'!D9/NºAsuntos!G9)-Datos!BF9)/Datos!BF9),(('Resol  Asuntos'!D9/NºAsuntos!G9)-Datos!BF9)/Datos!BF9," - ")</f>
        <v>0.88907632710601459</v>
      </c>
      <c r="K9" s="522">
        <f>IF(ISNUMBER((((NºAsuntos!C9+NºAsuntos!E9)/NºAsuntos!G9)-Datos!BG9)/Datos!BG9),(((NºAsuntos!C9+NºAsuntos!E9)/NºAsuntos!G9)-Datos!BG9)/Datos!BG9," - ")</f>
        <v>-8.5364465425302849E-2</v>
      </c>
    </row>
    <row r="10" spans="1:11">
      <c r="A10" s="450" t="str">
        <f>Datos!A10</f>
        <v>Jdos. Violencia contra la mujer</v>
      </c>
      <c r="B10" s="514">
        <f>IF(ISNUMBER((Datos!I10-Datos!S10)/Datos!S10),(Datos!I10-Datos!S10)/Datos!S10," - ")</f>
        <v>-0.05</v>
      </c>
      <c r="C10" s="515">
        <f>IF(ISNUMBER((Datos!J10-Datos!T10)/Datos!T10),(Datos!J10-Datos!T10)/Datos!T10," - ")</f>
        <v>0.94117647058823528</v>
      </c>
      <c r="D10" s="515">
        <f>IF(ISNUMBER((Datos!K10-Datos!U10)/Datos!U10),(Datos!K10-Datos!U10)/Datos!U10," - ")</f>
        <v>0.94444444444444442</v>
      </c>
      <c r="E10" s="515">
        <f>IF(ISNUMBER((Datos!L10-Datos!V10)/Datos!V10),(Datos!L10-Datos!V10)/Datos!V10," - ")</f>
        <v>-6.7796610169491525E-2</v>
      </c>
      <c r="F10" s="515">
        <f>IF(ISNUMBER((Datos!M10-Datos!W10)/Datos!W10),(Datos!M10-Datos!W10)/Datos!W10," - ")</f>
        <v>0.33333333333333331</v>
      </c>
      <c r="G10" s="516">
        <f>IF(ISNUMBER((Datos!N10-Datos!X10)/Datos!X10),(Datos!N10-Datos!X10)/Datos!X10," - ")</f>
        <v>2.5</v>
      </c>
      <c r="H10" s="514">
        <f>IF(ISNUMBER(((NºAsuntos!G10/NºAsuntos!E10)-Datos!BD10)/Datos!BD10),((NºAsuntos!G10/NºAsuntos!E10)-Datos!BD10)/Datos!BD10," - ")</f>
        <v>1.6835016835016203E-3</v>
      </c>
      <c r="I10" s="515">
        <f>IF(ISNUMBER(((NºAsuntos!I10/NºAsuntos!G10)-Datos!BE10)/Datos!BE10),((NºAsuntos!I10/NºAsuntos!G10)-Datos!BE10)/Datos!BE10," - ")</f>
        <v>-0.52058111380145278</v>
      </c>
      <c r="J10" s="521">
        <f>IF(ISNUMBER((('Resol  Asuntos'!D10/NºAsuntos!G10)-Datos!BF10)/Datos!BF10),(('Resol  Asuntos'!D10/NºAsuntos!G10)-Datos!BF10)/Datos!BF10," - ")</f>
        <v>-0.31428571428571428</v>
      </c>
      <c r="K10" s="522">
        <f>IF(ISNUMBER((((NºAsuntos!C10+NºAsuntos!E10)/NºAsuntos!G10)-Datos!BG10)/Datos!BG10),(((NºAsuntos!C10+NºAsuntos!E10)/NºAsuntos!G10)-Datos!BG10)/Datos!BG10," - ")</f>
        <v>-0.39888682745825599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-2.818863169065464E-2</v>
      </c>
      <c r="C14" s="1152">
        <f>IF(ISNUMBER(
   IF(J_V="SI",(Datos!J14-Datos!T14)/Datos!T14,(Datos!J14+Datos!Z14-(Datos!T14+Datos!AH14))/(Datos!T14+Datos!AH14))
     ),IF(J_V="SI",(Datos!J14-Datos!T14)/Datos!T14,(Datos!J14+Datos!Z14-(Datos!T14+Datos!AH14))/(Datos!T14+Datos!AH14))," - ")</f>
        <v>-0.1388888888888889</v>
      </c>
      <c r="D14" s="1152">
        <f>IF(ISNUMBER(
   IF(J_V="SI",(Datos!K14-Datos!U14)/Datos!U14,(Datos!K14+Datos!AA14-(Datos!U14+Datos!AI14))/(Datos!U14+Datos!AI14))
     ),IF(J_V="SI",(Datos!K14-Datos!U14)/Datos!U14,(Datos!K14+Datos!AA14-(Datos!U14+Datos!AI14))/(Datos!U14+Datos!AI14))," - ")</f>
        <v>4.8669201520912544E-2</v>
      </c>
      <c r="E14" s="1152">
        <f>IF(ISNUMBER(
   IF(J_V="SI",(Datos!L14-Datos!V14)/Datos!V14,(Datos!L14+Datos!AB14-(Datos!V14+Datos!AJ14))/(Datos!V14+Datos!AJ14))
     ),IF(J_V="SI",(Datos!L14-Datos!V14)/Datos!V14,(Datos!L14+Datos!AB14-(Datos!V14+Datos!AJ14))/(Datos!V14+Datos!AJ14))," - ")</f>
        <v>-0.18410423452768729</v>
      </c>
      <c r="F14" s="1153">
        <f>IF(ISNUMBER((Datos!M14-Datos!W14)/Datos!W14),(Datos!M14-Datos!W14)/Datos!W14," - ")</f>
        <v>0.1327188940092166</v>
      </c>
      <c r="G14" s="1154">
        <f>IF(ISNUMBER((Datos!N14-Datos!X14)/Datos!X14),(Datos!N14-Datos!X14)/Datos!X14," - ")</f>
        <v>-7.8525641025641024E-2</v>
      </c>
      <c r="H14" s="1154">
        <f>IF(ISNUMBER(((NºAsuntos!G14/NºAsuntos!E14)-Datos!BD14)/Datos!BD14),((NºAsuntos!G14/NºAsuntos!E14)-Datos!BD14)/Datos!BD14," - ")</f>
        <v>0.21780939531460816</v>
      </c>
      <c r="I14" s="1154">
        <f>IF(ISNUMBER(((NºAsuntos!I14/NºAsuntos!G14)-Datos!BE14)/Datos!BE14),((NºAsuntos!I14/NºAsuntos!G14)-Datos!BE14)/Datos!BE14," - ")</f>
        <v>-0.22197031791436458</v>
      </c>
      <c r="J14" s="1154">
        <f>IF(ISNUMBER((('Resol  Asuntos'!D14/NºAsuntos!G14)-Datos!BF14)/Datos!BF14),(('Resol  Asuntos'!D14/NºAsuntos!G14)-Datos!BF14)/Datos!BF14," - ")</f>
        <v>0.87214307724030249</v>
      </c>
      <c r="K14" s="1154">
        <f>IF(ISNUMBER((((NºAsuntos!C14+NºAsuntos!E14)/NºAsuntos!G14)-Datos!BG14)/Datos!BG14),(((NºAsuntos!C14+NºAsuntos!E14)/NºAsuntos!G14)-Datos!BG14)/Datos!BG14," - ")</f>
        <v>-8.9864481459684328E-2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-0.11788079470198676</v>
      </c>
      <c r="C16" s="515">
        <f>IF(ISNUMBER(
   IF(D_I="SI",(Datos!J16-Datos!T16)/Datos!T16,(Datos!J16+Datos!AD16-(Datos!T16+Datos!AL16))/(Datos!T16+Datos!AL16))
     ),IF(D_I="SI",(Datos!J16-Datos!T16)/Datos!T16,(Datos!J16+Datos!AD16-(Datos!T16+Datos!AL16))/(Datos!T16+Datos!AL16))," - ")</f>
        <v>0.27764326069410816</v>
      </c>
      <c r="D16" s="515">
        <f>IF(ISNUMBER(
   IF(D_I="SI",(Datos!K16-Datos!U16)/Datos!U16,(Datos!K16+Datos!AE16-(Datos!U16+Datos!AM16))/(Datos!U16+Datos!AM16))
     ),IF(D_I="SI",(Datos!K16-Datos!U16)/Datos!U16,(Datos!K16+Datos!AE16-(Datos!U16+Datos!AM16))/(Datos!U16+Datos!AM16))," - ")</f>
        <v>0.25705568268497331</v>
      </c>
      <c r="E16" s="515">
        <f>IF(ISNUMBER(
   IF(D_I="SI",(Datos!L16-Datos!V16)/Datos!V16,(Datos!L16+Datos!AF16-(Datos!V16+Datos!AN16))/(Datos!V16+Datos!AN16))
     ),IF(D_I="SI",(Datos!L16-Datos!V16)/Datos!V16,(Datos!L16+Datos!AF16-(Datos!V16+Datos!AN16))/(Datos!V16+Datos!AN16))," - ")</f>
        <v>-0.11499272197962154</v>
      </c>
      <c r="F16" s="515">
        <f>IF(ISNUMBER((Datos!M16-Datos!W16)/Datos!W16),(Datos!M16-Datos!W16)/Datos!W16," - ")</f>
        <v>6.6985645933014357E-2</v>
      </c>
      <c r="G16" s="516">
        <f>IF(ISNUMBER((Datos!N16-Datos!X16)/Datos!X16),(Datos!N16-Datos!X16)/Datos!X16," - ")</f>
        <v>0.33825338253382536</v>
      </c>
      <c r="H16" s="514">
        <f>IF(ISNUMBER(((NºAsuntos!G16/NºAsuntos!E16)-Datos!BD16)/Datos!BD16),((NºAsuntos!G16/NºAsuntos!E16)-Datos!BD16)/Datos!BD16," - ")</f>
        <v>-1.6113713931344285E-2</v>
      </c>
      <c r="I16" s="515">
        <f>IF(ISNUMBER(((NºAsuntos!I16/NºAsuntos!G16)-Datos!BE16)/Datos!BE16),((NºAsuntos!I16/NºAsuntos!G16)-Datos!BE16)/Datos!BE16," - ")</f>
        <v>-0.29596811803111878</v>
      </c>
      <c r="J16" s="521">
        <f>IF(ISNUMBER((('Resol  Asuntos'!D16/NºAsuntos!G16)-Datos!BF16)/Datos!BF16),(('Resol  Asuntos'!D16/NºAsuntos!G16)-Datos!BF16)/Datos!BF16," - ")</f>
        <v>-0.15120255957634593</v>
      </c>
      <c r="K16" s="522">
        <f>IF(ISNUMBER((((NºAsuntos!C16+NºAsuntos!E16)/NºAsuntos!G16)-Datos!BG16)/Datos!BG16),(((NºAsuntos!C16+NºAsuntos!E16)/NºAsuntos!G16)-Datos!BG16)/Datos!BG16," - ")</f>
        <v>-0.1027576053402927</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9.5238095238095247E-3</v>
      </c>
      <c r="C18" s="515">
        <f>IF(ISNUMBER(
   IF(D_I="SI",(Datos!J18-Datos!T18)/Datos!T18,(Datos!J18+Datos!AD18-(Datos!T18+Datos!AL18))/(Datos!T18+Datos!AL18))
     ),IF(D_I="SI",(Datos!J18-Datos!T18)/Datos!T18,(Datos!J18+Datos!AD18-(Datos!T18+Datos!AL18))/(Datos!T18+Datos!AL18))," - ")</f>
        <v>0.14388489208633093</v>
      </c>
      <c r="D18" s="515">
        <f>IF(ISNUMBER(
   IF(D_I="SI",(Datos!K18-Datos!U18)/Datos!U18,(Datos!K18+Datos!AE18-(Datos!U18+Datos!AM18))/(Datos!U18+Datos!AM18))
     ),IF(D_I="SI",(Datos!K18-Datos!U18)/Datos!U18,(Datos!K18+Datos!AE18-(Datos!U18+Datos!AM18))/(Datos!U18+Datos!AM18))," - ")</f>
        <v>0.02</v>
      </c>
      <c r="E18" s="515">
        <f>IF(ISNUMBER(
   IF(D_I="SI",(Datos!L18-Datos!V18)/Datos!V18,(Datos!L18+Datos!AF18-(Datos!V18+Datos!AN18))/(Datos!V18+Datos!AN18))
     ),IF(D_I="SI",(Datos!L18-Datos!V18)/Datos!V18,(Datos!L18+Datos!AF18-(Datos!V18+Datos!AN18))/(Datos!V18+Datos!AN18))," - ")</f>
        <v>0.27659574468085107</v>
      </c>
      <c r="F18" s="515">
        <f>IF(ISNUMBER((Datos!M18-Datos!W18)/Datos!W18),(Datos!M18-Datos!W18)/Datos!W18," - ")</f>
        <v>-0.23076923076923078</v>
      </c>
      <c r="G18" s="516">
        <f>IF(ISNUMBER((Datos!N18-Datos!X18)/Datos!X18),(Datos!N18-Datos!X18)/Datos!X18," - ")</f>
        <v>0.55294117647058827</v>
      </c>
      <c r="H18" s="514">
        <f>IF(ISNUMBER(((NºAsuntos!G18/NºAsuntos!E18)-Datos!BD18)/Datos!BD18),((NºAsuntos!G18/NºAsuntos!E18)-Datos!BD18)/Datos!BD18," - ")</f>
        <v>-0.10830188679245278</v>
      </c>
      <c r="I18" s="515">
        <f>IF(ISNUMBER(((NºAsuntos!I18/NºAsuntos!G18)-Datos!BE18)/Datos!BE18),((NºAsuntos!I18/NºAsuntos!G18)-Datos!BE18)/Datos!BE18," - ")</f>
        <v>0.25156445556946172</v>
      </c>
      <c r="J18" s="521">
        <f>IF(ISNUMBER((('Resol  Asuntos'!D18/NºAsuntos!G18)-Datos!BF18)/Datos!BF18),(('Resol  Asuntos'!D18/NºAsuntos!G18)-Datos!BF18)/Datos!BF18," - ")</f>
        <v>-0.2458521870286576</v>
      </c>
      <c r="K18" s="522">
        <f>IF(ISNUMBER((((NºAsuntos!C18+NºAsuntos!E18)/NºAsuntos!G18)-Datos!BG18)/Datos!BG18),(((NºAsuntos!C18+NºAsuntos!E18)/NºAsuntos!G18)-Datos!BG18)/Datos!BG18," - ")</f>
        <v>6.477017036322727E-2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-0.10336817653890824</v>
      </c>
      <c r="C23" s="1152">
        <f>IF(ISNUMBER(
   IF(Criterios!B14="SI",(Datos!J23-Datos!T23)/Datos!T23,(Datos!J23+Datos!AD23-(Datos!T23+Datos!AL23))/(Datos!T23+Datos!AL23))
     ),IF(Criterios!B14="SI",(Datos!J23-Datos!T23)/Datos!T23,(Datos!J23+Datos!AD23-(Datos!T23+Datos!AL23))/(Datos!T23+Datos!AL23))," - ")</f>
        <v>0.26415094339622641</v>
      </c>
      <c r="D23" s="1152">
        <f>IF(ISNUMBER(
   IF(Criterios!B14="SI",(Datos!K23-Datos!U23)/Datos!U23,(Datos!K23+Datos!AE23-(Datos!U23+Datos!AM23))/(Datos!U23+Datos!AM23))
     ),IF(Criterios!B14="SI",(Datos!K23-Datos!U23)/Datos!U23,(Datos!K23+Datos!AE23-(Datos!U23+Datos!AM23))/(Datos!U23+Datos!AM23))," - ")</f>
        <v>0.2327173169062286</v>
      </c>
      <c r="E23" s="1152">
        <f>IF(ISNUMBER(
   IF(Criterios!B14="SI",(Datos!L23-Datos!V23)/Datos!V23,(Datos!L23+Datos!AF23-(Datos!V23+Datos!AN23))/(Datos!V23+Datos!AN23))
     ),IF(Criterios!B14="SI",(Datos!L23-Datos!V23)/Datos!V23,(Datos!L23+Datos!AF23-(Datos!V23+Datos!AN23))/(Datos!V23+Datos!AN23))," - ")</f>
        <v>-6.9053708439897693E-2</v>
      </c>
      <c r="F23" s="1153">
        <f>IF(ISNUMBER((Datos!M23-Datos!W23)/Datos!W23),(Datos!M23-Datos!W23)/Datos!W23," - ")</f>
        <v>4.954954954954955E-2</v>
      </c>
      <c r="G23" s="1154">
        <f>IF(ISNUMBER((Datos!N23-Datos!X23)/Datos!X23),(Datos!N23-Datos!X23)/Datos!X23," - ")</f>
        <v>0.35857461024498888</v>
      </c>
      <c r="H23" s="1154">
        <f>IF(ISNUMBER(((NºAsuntos!G23/NºAsuntos!E23)-Datos!BD23)/Datos!BD23),((NºAsuntos!G23/NºAsuntos!E23)-Datos!BD23)/Datos!BD23," - ")</f>
        <v>-2.4865406029401304E-2</v>
      </c>
      <c r="I23" s="1154">
        <f>IF(ISNUMBER(((NºAsuntos!I23/NºAsuntos!G23)-Datos!BE23)/Datos!BE23),((NºAsuntos!I23/NºAsuntos!G23)-Datos!BE23)/Datos!BE23," - ")</f>
        <v>-0.24480148141626357</v>
      </c>
      <c r="J23" s="1154">
        <f>IF(ISNUMBER((('Resol  Asuntos'!D23/NºAsuntos!G23)-Datos!BF23)/Datos!BF23),(('Resol  Asuntos'!D23/NºAsuntos!G23)-Datos!BF23)/Datos!BF23," - ")</f>
        <v>-0.14858862193676189</v>
      </c>
      <c r="K23" s="1154">
        <f>IF(ISNUMBER((((NºAsuntos!C23+NºAsuntos!E23)/NºAsuntos!G23)-Datos!BG23)/Datos!BG23),(((NºAsuntos!C23+NºAsuntos!E23)/NºAsuntos!G23)-Datos!BG23)/Datos!BG23," - ")</f>
        <v>-8.9148279738391484E-2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-3.224996862843519E-2</v>
      </c>
      <c r="C31" s="1092">
        <f>IF(ISNUMBER(
   IF(J_V="SI",(Datos!J31-Datos!T31)/Datos!T31,(Datos!J31+Datos!Z31-(Datos!T31+Datos!AH31))/(Datos!T31+Datos!AH31))
     ),IF(J_V="SI",(Datos!J31-Datos!T31)/Datos!T31,(Datos!J31+Datos!Z31-(Datos!T31+Datos!AH31))/(Datos!T31+Datos!AH31))," - ")</f>
        <v>-6.2111801242236021E-3</v>
      </c>
      <c r="D31" s="1092">
        <f>IF(ISNUMBER(
   IF(J_V="SI",(Datos!K31-Datos!U31)/Datos!U31,(Datos!K31+Datos!AA31-(Datos!U31+Datos!AI31))/(Datos!U31+Datos!AI31))
     ),IF(J_V="SI",(Datos!K31-Datos!U31)/Datos!U31,(Datos!K31+Datos!AA31-(Datos!U31+Datos!AI31))/(Datos!U31+Datos!AI31))," - ")</f>
        <v>0.11439745783427036</v>
      </c>
      <c r="E31" s="1092">
        <f>IF(ISNUMBER(
   IF(J_V="SI",(Datos!L31-Datos!V31)/Datos!V31,(Datos!L31+Datos!AB31-(Datos!V31+Datos!AJ31))/(Datos!V31+Datos!AJ31))
     ),IF(J_V="SI",(Datos!L31-Datos!V31)/Datos!V31,(Datos!L31+Datos!AB31-(Datos!V31+Datos!AJ31))/(Datos!V31+Datos!AJ31))," - ")</f>
        <v>-0.17852715100421523</v>
      </c>
      <c r="F31" s="1093">
        <f>IF(ISNUMBER((Datos!M31-Datos!W31)/Datos!W31),(Datos!M31-Datos!W31)/Datos!W31," - ")</f>
        <v>0.11859219586840092</v>
      </c>
      <c r="G31" s="1094">
        <f>IF(ISNUMBER((Datos!N31-Datos!X31)/Datos!X31),(Datos!N31-Datos!X31)/Datos!X31," - ")</f>
        <v>0.17936925098554535</v>
      </c>
      <c r="H31" s="1095">
        <f>IF(ISNUMBER((Tasas!B31-Datos!BD31)/Datos!BD31),(Tasas!B31-Datos!BD31)/Datos!BD31," - ")</f>
        <v>0.12136244194573453</v>
      </c>
      <c r="I31" s="1096">
        <f>IF(ISNUMBER((Tasas!C31-Datos!BE31)/Datos!BE31),(Tasas!C31-Datos!BE31)/Datos!BE31," - ")</f>
        <v>-0.26285469944247514</v>
      </c>
      <c r="J31" s="1097">
        <f>IF(ISNUMBER((Tasas!D31-Datos!BF31)/Datos!BF31),(Tasas!D31-Datos!BF31)/Datos!BF31," - ")</f>
        <v>0.54707514060928608</v>
      </c>
      <c r="K31" s="1097">
        <f>IF(ISNUMBER((Tasas!E31-Datos!BG31)/Datos!BG31),(Tasas!E31-Datos!BG31)/Datos!BG31," - ")</f>
        <v>-0.12673314025099661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r46hqAP5HEKbkwhZ8yYQIV4dr5NBRrAnwk8E/1Oy1oPPpy428Zqn9TUrzuQISAnb1XyNJa9+NYaBEI2RkiEzg==" saltValue="/rN6cJ13d7Dlh2qZi4Ac8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CADIZ</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1.1417190775681341</v>
      </c>
      <c r="C9" s="498">
        <f>IF(ISNUMBER(NºAsuntos!I9/NºAsuntos!G9),NºAsuntos!I9/NºAsuntos!G9," - ")</f>
        <v>4.5791406536907822</v>
      </c>
      <c r="D9" s="499">
        <f>IF(ISNUMBER('Resol  Asuntos'!D9/NºAsuntos!G9),'Resol  Asuntos'!D9/NºAsuntos!G9," - ")</f>
        <v>0.44840249724568493</v>
      </c>
      <c r="E9" s="500">
        <f>IF(ISNUMBER((NºAsuntos!C9+NºAsuntos!E9)/NºAsuntos!G9),(NºAsuntos!C9+NºAsuntos!E9)/NºAsuntos!G9," - ")</f>
        <v>6.2357693720161587</v>
      </c>
      <c r="G9" s="523"/>
    </row>
    <row r="10" spans="1:7">
      <c r="A10" s="450" t="str">
        <f>Datos!A10</f>
        <v>Jdos. Violencia contra la mujer</v>
      </c>
      <c r="B10" s="497">
        <f>IF(ISNUMBER(NºAsuntos!G10/NºAsuntos!E10),NºAsuntos!G10/NºAsuntos!E10," - ")</f>
        <v>1.0606060606060606</v>
      </c>
      <c r="C10" s="498">
        <f>IF(ISNUMBER(NºAsuntos!I10/NºAsuntos!G10),NºAsuntos!I10/NºAsuntos!G10," - ")</f>
        <v>1.5714285714285714</v>
      </c>
      <c r="D10" s="499">
        <f>IF(ISNUMBER('Resol  Asuntos'!D10/NºAsuntos!G10),'Resol  Asuntos'!D10/NºAsuntos!G10," - ")</f>
        <v>0.22857142857142856</v>
      </c>
      <c r="E10" s="500">
        <f>IF(ISNUMBER((NºAsuntos!C10+NºAsuntos!E10)/NºAsuntos!G10),(NºAsuntos!C10+NºAsuntos!E10)/NºAsuntos!G10," - ")</f>
        <v>2.5714285714285716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1.1406120760959471</v>
      </c>
      <c r="C14" s="1156">
        <f>IF(ISNUMBER(NºAsuntos!I14/NºAsuntos!G14),NºAsuntos!I14/NºAsuntos!G14," - ")</f>
        <v>4.5409717186366931</v>
      </c>
      <c r="D14" s="1157">
        <f>IF(ISNUMBER('Resol  Asuntos'!D14/NºAsuntos!G14),'Resol  Asuntos'!D14/NºAsuntos!G14," - ")</f>
        <v>0.44561276287164614</v>
      </c>
      <c r="E14" s="1158">
        <f>IF(ISNUMBER((NºAsuntos!C14+NºAsuntos!E14)/NºAsuntos!G14),(NºAsuntos!C14+NºAsuntos!E14)/NºAsuntos!G14," - ")</f>
        <v>6.1892675852066716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1.0410612760581175</v>
      </c>
      <c r="C16" s="498">
        <f>IF(ISNUMBER(NºAsuntos!I16/NºAsuntos!G16),NºAsuntos!I16/NºAsuntos!G16," - ")</f>
        <v>0.36893203883495146</v>
      </c>
      <c r="D16" s="499">
        <f>IF(ISNUMBER('Resol  Asuntos'!D16/NºAsuntos!G16),'Resol  Asuntos'!D16/NºAsuntos!G16," - ")</f>
        <v>0.13531553398058252</v>
      </c>
      <c r="E16" s="500">
        <f>IF(ISNUMBER((NºAsuntos!C16+NºAsuntos!E16)/NºAsuntos!G16),(NºAsuntos!C16+NºAsuntos!E16)/NºAsuntos!G16," - ")</f>
        <v>1.3646844660194175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0.96226415094339623</v>
      </c>
      <c r="C18" s="498">
        <f>IF(ISNUMBER(NºAsuntos!I18/NºAsuntos!G18),NºAsuntos!I18/NºAsuntos!G18," - ")</f>
        <v>0.78431372549019607</v>
      </c>
      <c r="D18" s="499">
        <f>IF(ISNUMBER('Resol  Asuntos'!D18/NºAsuntos!G18),'Resol  Asuntos'!D18/NºAsuntos!G18," - ")</f>
        <v>6.535947712418301E-2</v>
      </c>
      <c r="E18" s="500">
        <f>IF(ISNUMBER((NºAsuntos!C18+NºAsuntos!E18)/NºAsuntos!G18),(NºAsuntos!C18+NºAsuntos!E18)/NºAsuntos!G18," - ")</f>
        <v>1.7320261437908497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1.0338691159586682</v>
      </c>
      <c r="C23" s="1156">
        <f>IF(ISNUMBER(NºAsuntos!I23/NºAsuntos!G23),NºAsuntos!I23/NºAsuntos!G23," - ")</f>
        <v>0.40421987784564128</v>
      </c>
      <c r="D23" s="1159">
        <f>IF(ISNUMBER('Resol  Asuntos'!D23/NºAsuntos!G23),'Resol  Asuntos'!D23/NºAsuntos!G23," - ")</f>
        <v>0.12937257079400333</v>
      </c>
      <c r="E23" s="1158">
        <f>IF(ISNUMBER((NºAsuntos!C23+NºAsuntos!E23)/NºAsuntos!G23),(NºAsuntos!C23+NºAsuntos!E23)/NºAsuntos!G23," - ")</f>
        <v>1.3958911715713493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1.0959134615384616</v>
      </c>
      <c r="C31" s="1099">
        <f>IF(ISNUMBER(NºAsuntos!I31/NºAsuntos!G31),NºAsuntos!I31/NºAsuntos!G31," - ")</f>
        <v>2.9067778021495942</v>
      </c>
      <c r="D31" s="1100">
        <f>IF(ISNUMBER('Resol  Asuntos'!D31/NºAsuntos!G31),'Resol  Asuntos'!D31/NºAsuntos!G31," - ")</f>
        <v>0.3206843606053959</v>
      </c>
      <c r="E31" s="1101">
        <f>IF(ISNUMBER((NºAsuntos!C31+NºAsuntos!E31)/NºAsuntos!G31),(NºAsuntos!C31+NºAsuntos!E31)/NºAsuntos!G31," - ")</f>
        <v>4.2956788769466989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DypYN/gmax+xHPtGWmQdSPxc3B+ZctH3pauAvReJRUJqglA4G7LFQU5csQLpvYsbbmNmQ7dCoT45JFmXjKmNw==" saltValue="nh7kSrJjoxzMVNE9P9WM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CADIZ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543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702</v>
      </c>
      <c r="Y9" s="374">
        <f>SUM(W9:X9)</f>
        <v>702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7364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1221</v>
      </c>
      <c r="AJ9" s="243" t="str">
        <f>IF(ISNUMBER(Datos!BW9),Datos!BW9," - ")</f>
        <v xml:space="preserve"> - </v>
      </c>
      <c r="AK9" s="242" t="str">
        <f>IF(ISNUMBER(Datos!BX9),Datos!BX9," - ")</f>
        <v xml:space="preserve"> - </v>
      </c>
      <c r="AL9" s="266">
        <f>IF(ISNUMBER(NºAsuntos!G9/NºAsuntos!E9),NºAsuntos!G9/NºAsuntos!E9," - ")</f>
        <v>1.1417190775681341</v>
      </c>
      <c r="AM9" s="284">
        <f>IF(ISNUMBER(((NºAsuntos!I9/NºAsuntos!G9)*11)/factor_trimestre),((NºAsuntos!I9/NºAsuntos!G9)*11)/factor_trimestre," - ")</f>
        <v>13.737421961072346</v>
      </c>
      <c r="AN9" s="267">
        <f>IF(ISNUMBER('Resol  Asuntos'!D9/NºAsuntos!G9),'Resol  Asuntos'!D9/NºAsuntos!G9," - ")</f>
        <v>0.44840249724568493</v>
      </c>
      <c r="AO9" s="268">
        <f>IF(ISNUMBER((NºAsuntos!C9+NºAsuntos!E9)/NºAsuntos!G9),(NºAsuntos!C9+NºAsuntos!E9)/NºAsuntos!G9," - ")</f>
        <v>6.2357693720161587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57</v>
      </c>
      <c r="G10" s="373">
        <f>IF(ISNUMBER(Datos!I10),Datos!I10," - ")</f>
        <v>57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35</v>
      </c>
      <c r="X10" s="240">
        <f>IF(ISNUMBER(Datos!Q10),Datos!Q10," - ")</f>
        <v>11</v>
      </c>
      <c r="Y10" s="374">
        <f t="shared" ref="Y10:Y13" si="0">SUM(W10:X10)</f>
        <v>46</v>
      </c>
      <c r="Z10" s="375" t="str">
        <f>IF(ISNUMBER(Datos!CC10),Datos!CC10," - ")</f>
        <v xml:space="preserve"> - </v>
      </c>
      <c r="AA10" s="372">
        <f>IF(ISNUMBER(Datos!L10),Datos!L10,"-")</f>
        <v>55</v>
      </c>
      <c r="AB10" s="374">
        <f>IF(ISNUMBER(Datos!R10),Datos!R10," - ")</f>
        <v>36</v>
      </c>
      <c r="AC10" s="374">
        <f t="shared" ref="AC10:AC13" si="1">IF(ISNUMBER(AA10+AB10),AA10+AB10," - ")</f>
        <v>91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1.0606060606060606</v>
      </c>
      <c r="AM10" s="284">
        <f>IF(ISNUMBER(((NºAsuntos!I10/NºAsuntos!G10)*11)/factor_trimestre),((NºAsuntos!I10/NºAsuntos!G10)*11)/factor_trimestre," - ")</f>
        <v>4.7142857142857144</v>
      </c>
      <c r="AN10" s="267">
        <f>IF(ISNUMBER('Resol  Asuntos'!D10/NºAsuntos!G10),'Resol  Asuntos'!D10/NºAsuntos!G10," - ")</f>
        <v>0.22857142857142856</v>
      </c>
      <c r="AO10" s="268">
        <f>IF(ISNUMBER((NºAsuntos!C10+NºAsuntos!E10)/NºAsuntos!G10),(NºAsuntos!C10+NºAsuntos!E10)/NºAsuntos!G10," - ")</f>
        <v>2.5714285714285716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57</v>
      </c>
      <c r="G14" s="1163">
        <f t="shared" si="5"/>
        <v>57</v>
      </c>
      <c r="H14" s="1162">
        <f t="shared" si="5"/>
        <v>0</v>
      </c>
      <c r="I14" s="1164">
        <f t="shared" si="5"/>
        <v>0</v>
      </c>
      <c r="J14" s="1164">
        <f t="shared" si="5"/>
        <v>0</v>
      </c>
      <c r="K14" s="1164">
        <f t="shared" si="5"/>
        <v>0</v>
      </c>
      <c r="L14" s="1164">
        <f t="shared" si="5"/>
        <v>552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35</v>
      </c>
      <c r="X14" s="1164">
        <f t="shared" si="6"/>
        <v>713</v>
      </c>
      <c r="Y14" s="1165">
        <f t="shared" si="6"/>
        <v>748</v>
      </c>
      <c r="Z14" s="1165">
        <f t="shared" si="6"/>
        <v>0</v>
      </c>
      <c r="AA14" s="1165">
        <f t="shared" si="6"/>
        <v>55</v>
      </c>
      <c r="AB14" s="1165">
        <f t="shared" si="6"/>
        <v>7400</v>
      </c>
      <c r="AC14" s="1165">
        <f t="shared" si="6"/>
        <v>91</v>
      </c>
      <c r="AD14" s="1165">
        <f t="shared" si="6"/>
        <v>0</v>
      </c>
      <c r="AE14" s="1169">
        <f t="shared" si="6"/>
        <v>0</v>
      </c>
      <c r="AF14" s="1162">
        <f t="shared" si="6"/>
        <v>0</v>
      </c>
      <c r="AG14" s="1170">
        <f t="shared" si="6"/>
        <v>0</v>
      </c>
      <c r="AH14" s="1167">
        <f t="shared" si="6"/>
        <v>0</v>
      </c>
      <c r="AI14" s="1162">
        <f t="shared" si="6"/>
        <v>1229</v>
      </c>
      <c r="AJ14" s="1164">
        <f t="shared" si="6"/>
        <v>0</v>
      </c>
      <c r="AK14" s="1167">
        <f>SUBTOTAL(9,AK9:AK13)</f>
        <v>0</v>
      </c>
      <c r="AL14" s="1171">
        <f>IF(ISNUMBER(NºAsuntos!G14/NºAsuntos!E14),NºAsuntos!G14/NºAsuntos!E14," - ")</f>
        <v>1.1406120760959471</v>
      </c>
      <c r="AM14" s="1171">
        <f>IF(ISNUMBER(((NºAsuntos!I14/NºAsuntos!G14)*11)/factor_trimestre),((NºAsuntos!I14/NºAsuntos!G14)*11)/factor_trimestre," - ")</f>
        <v>13.62291515591008</v>
      </c>
      <c r="AN14" s="1172">
        <f>IF(ISNUMBER('Resol  Asuntos'!D14/NºAsuntos!G14),'Resol  Asuntos'!D14/NºAsuntos!G14," - ")</f>
        <v>0.44561276287164614</v>
      </c>
      <c r="AO14" s="1173">
        <f>IF(ISNUMBER((NºAsuntos!C14+NºAsuntos!E14)/NºAsuntos!G14),(NºAsuntos!C14+NºAsuntos!E14)/NºAsuntos!G14," - ")</f>
        <v>6.1892675852066716</v>
      </c>
      <c r="AP14" s="1174" t="str">
        <f t="shared" si="2"/>
        <v xml:space="preserve"> - </v>
      </c>
      <c r="AQ14" s="1174">
        <f>IF(ISNUMBER((H14-W14+K14)/(F14)),(H14-W14+K14)/(F14)," - ")</f>
        <v>-0.61403508771929827</v>
      </c>
      <c r="AR14" s="1175">
        <f>IF(ISNUMBER((Datos!P14-Datos!Q14)/(Datos!R14-Datos!P14+Datos!Q14)),(Datos!P14-Datos!Q14)/(Datos!R14-Datos!P14+Datos!Q14)," - ")</f>
        <v>-2.1293479698452585E-2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673</v>
      </c>
      <c r="G16" s="373">
        <f>IF(ISNUMBER(IF(D_I="SI",Datos!I16,Datos!I16+Datos!AC16)),IF(D_I="SI",Datos!I16,Datos!I16+Datos!AC16)," - ")</f>
        <v>666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1648</v>
      </c>
      <c r="X16" s="240">
        <f>IF(ISNUMBER(Datos!Q16),Datos!Q16," - ")</f>
        <v>93</v>
      </c>
      <c r="Y16" s="374">
        <f>SUM(W16)</f>
        <v>1648</v>
      </c>
      <c r="Z16" s="375" t="str">
        <f>IF(ISNUMBER(Datos!CC16),Datos!CC16," - ")</f>
        <v xml:space="preserve"> - </v>
      </c>
      <c r="AA16" s="372">
        <f>IF(ISNUMBER(IF(D_I="SI",Datos!L16,Datos!L16+Datos!AF16)),IF(D_I="SI",Datos!L16,Datos!L16+Datos!AF16)," - ")</f>
        <v>608</v>
      </c>
      <c r="AB16" s="374">
        <f>IF(ISNUMBER(Datos!R16),Datos!R16," - ")</f>
        <v>220</v>
      </c>
      <c r="AC16" s="374">
        <f t="shared" ref="AC16:AC22" si="8">IF(ISNUMBER(AA16+AB16),AA16+AB16," - ")</f>
        <v>828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223</v>
      </c>
      <c r="AJ16" s="245" t="str">
        <f>IF(ISNUMBER(Datos!BW16),Datos!BW16," - ")</f>
        <v xml:space="preserve"> - </v>
      </c>
      <c r="AK16" s="246" t="str">
        <f>IF(ISNUMBER(Datos!BX16),Datos!BX16," - ")</f>
        <v xml:space="preserve"> - </v>
      </c>
      <c r="AL16" s="266">
        <f>IF(ISNUMBER(NºAsuntos!G16/NºAsuntos!E16),NºAsuntos!G16/NºAsuntos!E16," - ")</f>
        <v>1.0410612760581175</v>
      </c>
      <c r="AM16" s="284">
        <f>IF(ISNUMBER(((NºAsuntos!I16/NºAsuntos!G16)*11)/factor_trimestre),((NºAsuntos!I16/NºAsuntos!G16)*11)/factor_trimestre," - ")</f>
        <v>1.1067961165048543</v>
      </c>
      <c r="AN16" s="267">
        <f>IF(ISNUMBER('Resol  Asuntos'!D16/NºAsuntos!G16),'Resol  Asuntos'!D16/NºAsuntos!G16," - ")</f>
        <v>0.13531553398058252</v>
      </c>
      <c r="AO16" s="268">
        <f>IF(ISNUMBER((NºAsuntos!C16+NºAsuntos!E16)/NºAsuntos!G16),(NºAsuntos!C16+NºAsuntos!E16)/NºAsuntos!G16," - ")</f>
        <v>1.3646844660194175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0</v>
      </c>
      <c r="G17" s="373">
        <f>IF(ISNUMBER(IF(D_I="SI",Datos!I17,Datos!I17+Datos!AC17)),IF(D_I="SI",Datos!I17,Datos!I17+Datos!AC17)," - ")</f>
        <v>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0</v>
      </c>
      <c r="AB17" s="374">
        <f>IF(ISNUMBER(Datos!R17),Datos!R17," - ")</f>
        <v>0</v>
      </c>
      <c r="AC17" s="374">
        <f t="shared" si="8"/>
        <v>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153</v>
      </c>
      <c r="X18" s="240">
        <f>IF(ISNUMBER(Datos!Q18),Datos!Q18," - ")</f>
        <v>5</v>
      </c>
      <c r="Y18" s="374">
        <f t="shared" si="9"/>
        <v>158</v>
      </c>
      <c r="Z18" s="375" t="str">
        <f>IF(ISNUMBER(Datos!CC18),Datos!CC18," - ")</f>
        <v xml:space="preserve"> - </v>
      </c>
      <c r="AA18" s="372">
        <f>IF(ISNUMBER(Datos!L18),Datos!L18,"-")</f>
        <v>120</v>
      </c>
      <c r="AB18" s="374">
        <f>IF(ISNUMBER(Datos!R18),Datos!R18," - ")</f>
        <v>10</v>
      </c>
      <c r="AC18" s="374">
        <f t="shared" si="8"/>
        <v>130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0.96226415094339623</v>
      </c>
      <c r="AM18" s="284">
        <f>IF(ISNUMBER(((NºAsuntos!I18/NºAsuntos!G18)*11)/factor_trimestre),((NºAsuntos!I18/NºAsuntos!G18)*11)/factor_trimestre," - ")</f>
        <v>2.3529411764705883</v>
      </c>
      <c r="AN18" s="267">
        <f>IF(ISNUMBER('Resol  Asuntos'!D18/NºAsuntos!G18),'Resol  Asuntos'!D18/NºAsuntos!G18," - ")</f>
        <v>6.535947712418301E-2</v>
      </c>
      <c r="AO18" s="268">
        <f>IF(ISNUMBER((NºAsuntos!C18+NºAsuntos!E18)/NºAsuntos!G18),(NºAsuntos!C18+NºAsuntos!E18)/NºAsuntos!G18," - ")</f>
        <v>1.7320261437908497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673</v>
      </c>
      <c r="G23" s="1163">
        <f>SUBTOTAL(9,G16:G22)</f>
        <v>772</v>
      </c>
      <c r="H23" s="1162">
        <f t="shared" ref="H23:O23" si="13">SUBTOTAL(9,H15:H22)</f>
        <v>0</v>
      </c>
      <c r="I23" s="1164">
        <f t="shared" si="13"/>
        <v>0</v>
      </c>
      <c r="J23" s="1164">
        <f t="shared" si="13"/>
        <v>0</v>
      </c>
      <c r="K23" s="1164">
        <f t="shared" si="13"/>
        <v>0</v>
      </c>
      <c r="L23" s="1164">
        <f t="shared" si="13"/>
        <v>87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1801</v>
      </c>
      <c r="X23" s="1164">
        <f t="shared" si="14"/>
        <v>98</v>
      </c>
      <c r="Y23" s="1165">
        <f t="shared" si="14"/>
        <v>1806</v>
      </c>
      <c r="Z23" s="1165">
        <f t="shared" si="14"/>
        <v>0</v>
      </c>
      <c r="AA23" s="1165">
        <f t="shared" si="14"/>
        <v>728</v>
      </c>
      <c r="AB23" s="1165">
        <f t="shared" si="14"/>
        <v>230</v>
      </c>
      <c r="AC23" s="1165">
        <f t="shared" si="14"/>
        <v>958</v>
      </c>
      <c r="AD23" s="1165">
        <f t="shared" si="14"/>
        <v>0</v>
      </c>
      <c r="AE23" s="1169">
        <f t="shared" si="14"/>
        <v>0</v>
      </c>
      <c r="AF23" s="1162">
        <f t="shared" si="14"/>
        <v>0</v>
      </c>
      <c r="AG23" s="1170">
        <f t="shared" si="14"/>
        <v>0</v>
      </c>
      <c r="AH23" s="1167">
        <f t="shared" si="14"/>
        <v>0</v>
      </c>
      <c r="AI23" s="1162">
        <f t="shared" si="14"/>
        <v>233</v>
      </c>
      <c r="AJ23" s="1164">
        <f t="shared" si="14"/>
        <v>0</v>
      </c>
      <c r="AK23" s="1167">
        <f t="shared" si="14"/>
        <v>0</v>
      </c>
      <c r="AL23" s="1171">
        <f>IF(ISNUMBER(NºAsuntos!G23/NºAsuntos!E23),NºAsuntos!G23/NºAsuntos!E23," - ")</f>
        <v>1.0338691159586682</v>
      </c>
      <c r="AM23" s="1171">
        <f>IF(ISNUMBER(((NºAsuntos!I23/NºAsuntos!G23)*11)/factor_trimestre),((NºAsuntos!I23/NºAsuntos!G23)*11)/factor_trimestre," - ")</f>
        <v>1.212659633536924</v>
      </c>
      <c r="AN23" s="1172">
        <f>IF(ISNUMBER('Resol  Asuntos'!D23/NºAsuntos!G23),'Resol  Asuntos'!D23/NºAsuntos!G23," - ")</f>
        <v>0.12937257079400333</v>
      </c>
      <c r="AO23" s="1173">
        <f>IF(ISNUMBER((NºAsuntos!C23+NºAsuntos!E23)/NºAsuntos!G23),(NºAsuntos!C23+NºAsuntos!E23)/NºAsuntos!G23," - ")</f>
        <v>1.3958911715713493</v>
      </c>
      <c r="AP23" s="1174" t="str">
        <f t="shared" si="2"/>
        <v xml:space="preserve"> - </v>
      </c>
      <c r="AQ23" s="1174">
        <f>IF(ISNUMBER((H23-W23+K23)/(F23)),(H23-W23+K23)/(F23)," - ")</f>
        <v>-2.6760772659732539</v>
      </c>
      <c r="AR23" s="1175">
        <f>IF(ISNUMBER((Datos!P23-Datos!Q23)/(Datos!R23-Datos!P23+Datos!Q23)),(Datos!P23-Datos!Q23)/(Datos!R23-Datos!P23+Datos!Q23)," - ")</f>
        <v>-4.5643153526970952E-2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730</v>
      </c>
      <c r="G31" s="1118">
        <f t="shared" si="20"/>
        <v>829</v>
      </c>
      <c r="H31" s="1117">
        <f t="shared" si="20"/>
        <v>0</v>
      </c>
      <c r="I31" s="1119">
        <f t="shared" si="20"/>
        <v>0</v>
      </c>
      <c r="J31" s="1119">
        <f t="shared" si="20"/>
        <v>0</v>
      </c>
      <c r="K31" s="1180">
        <f t="shared" si="20"/>
        <v>0</v>
      </c>
      <c r="L31" s="1119">
        <f t="shared" si="20"/>
        <v>639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1836</v>
      </c>
      <c r="X31" s="1118">
        <f t="shared" si="21"/>
        <v>811</v>
      </c>
      <c r="Y31" s="1125">
        <f t="shared" si="21"/>
        <v>2554</v>
      </c>
      <c r="Z31" s="1125">
        <f t="shared" si="21"/>
        <v>0</v>
      </c>
      <c r="AA31" s="1125">
        <f t="shared" si="21"/>
        <v>783</v>
      </c>
      <c r="AB31" s="1125">
        <f t="shared" si="21"/>
        <v>7630</v>
      </c>
      <c r="AC31" s="1125">
        <f t="shared" si="21"/>
        <v>1049</v>
      </c>
      <c r="AD31" s="1125">
        <f t="shared" si="21"/>
        <v>0</v>
      </c>
      <c r="AE31" s="1127">
        <f t="shared" si="21"/>
        <v>0</v>
      </c>
      <c r="AF31" s="1128">
        <f t="shared" si="21"/>
        <v>0</v>
      </c>
      <c r="AG31" s="1129">
        <f t="shared" si="21"/>
        <v>0</v>
      </c>
      <c r="AH31" s="1127">
        <f t="shared" si="21"/>
        <v>0</v>
      </c>
      <c r="AI31" s="1117">
        <f t="shared" si="21"/>
        <v>1462</v>
      </c>
      <c r="AJ31" s="1117">
        <f t="shared" si="21"/>
        <v>0</v>
      </c>
      <c r="AK31" s="1127">
        <f t="shared" si="21"/>
        <v>0</v>
      </c>
      <c r="AL31" s="1183">
        <f>IF(ISNUMBER(NºAsuntos!G31/NºAsuntos!E31),NºAsuntos!G31/NºAsuntos!E31," - ")</f>
        <v>1.0959134615384616</v>
      </c>
      <c r="AM31" s="1184">
        <f>IF(ISNUMBER(((NºAsuntos!I31/NºAsuntos!G31)*11)/factor_trimestre),((NºAsuntos!I31/NºAsuntos!G31)*11)/factor_trimestre," - ")</f>
        <v>8.7203334064487841</v>
      </c>
      <c r="AN31" s="1184">
        <f>IF(ISNUMBER('Resol  Asuntos'!D31/NºAsuntos!G31),'Resol  Asuntos'!D31/NºAsuntos!G31," - ")</f>
        <v>0.3206843606053959</v>
      </c>
      <c r="AO31" s="1185">
        <f>IF(ISNUMBER((NºAsuntos!C31+NºAsuntos!E31)/NºAsuntos!G31),(NºAsuntos!C31+NºAsuntos!E31)/NºAsuntos!G31," - ")</f>
        <v>4.2956788769466989</v>
      </c>
      <c r="AP31" s="1186" t="str">
        <f t="shared" si="2"/>
        <v xml:space="preserve"> - </v>
      </c>
      <c r="AQ31" s="1187">
        <f>IF(OR(ISNUMBER(FIND("01",Criterios!A8,1)),ISNUMBER(FIND("02",Criterios!A8,1)),ISNUMBER(FIND("03",Criterios!A8,1)),ISNUMBER(FIND("04",Criterios!A8,1))),(I31-W31+K31)/(F31-K31),(H31-W31+K31)/(F31-K31))</f>
        <v>-2.515068493150685</v>
      </c>
      <c r="AR31" s="1188">
        <f>IF(ISNUMBER((Datos!P31-Datos!Q31)/(Datos!R31-Datos!P31+Datos!Q31)),(Datos!P31-Datos!Q31)/(Datos!R31-Datos!P31+Datos!Q31)," - ")</f>
        <v>-2.2045629325813894E-2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207.25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2.3295709014312749</v>
      </c>
      <c r="F33" s="276">
        <f>IF(ISNUMBER(STDEV(F8:F30)),STDEV(F8:F30),"-")</f>
        <v>318.28753098566773</v>
      </c>
      <c r="G33" s="277">
        <f>IF(ISNUMBER(STDEV(G8:G30)),STDEV(G8:G30),"-")</f>
        <v>319.29688379312444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783.75615741486479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519.07235633494406</v>
      </c>
      <c r="AJ33" s="276">
        <f t="shared" si="25"/>
        <v>0</v>
      </c>
      <c r="AK33" s="278">
        <f t="shared" si="25"/>
        <v>0</v>
      </c>
      <c r="AL33" s="273">
        <f t="shared" si="25"/>
        <v>6.8851911193745632E-2</v>
      </c>
      <c r="AM33" s="274">
        <f t="shared" si="25"/>
        <v>5.9949928936526389</v>
      </c>
      <c r="AN33" s="274">
        <f t="shared" si="25"/>
        <v>0.16703819621599811</v>
      </c>
      <c r="AO33" s="275">
        <f t="shared" si="25"/>
        <v>2.3371320365709587</v>
      </c>
      <c r="AP33" s="317" t="str">
        <f t="shared" si="25"/>
        <v>-</v>
      </c>
      <c r="AQ33" s="318">
        <f t="shared" si="25"/>
        <v>1.4580840073360513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7NS34P3EP8aMnHsP+mqXgqd00fL+7Q2CTXbg+5KpnPDxN8dJagbzMeqcK/YH/0Gl2ScMctCryZjzp1hUVDXA==" saltValue="Oun1FwygMPbpUReucdIU0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CADIZ</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0.13160333642261354</v>
      </c>
      <c r="I9" s="395">
        <f>IF(ISNUMBER((Tasas!C9-Datos!BE9)/Datos!BE9),(Tasas!C9-Datos!BE9)/Datos!BE9," - ")</f>
        <v>-0.21779377493686986</v>
      </c>
      <c r="J9" s="394">
        <f>IF(ISNUMBER((Tasas!D9-Datos!BF9)/Datos!BF9),(Tasas!D9-Datos!BF9)/Datos!BF9," - ")</f>
        <v>0.88907632710601459</v>
      </c>
      <c r="K9" s="396">
        <f>IF(ISNUMBER((Tasas!E9-Datos!BG9)/Datos!BG9),(Tasas!E9-Datos!BG9)/Datos!BG9," - ")</f>
        <v>-8.5364465425302849E-2</v>
      </c>
      <c r="M9" t="e">
        <f>IF(Monitorios="SI",Datos!CE9,0)</f>
        <v>#REF!</v>
      </c>
      <c r="N9" t="e">
        <f>IF(Monitorios="SI",Datos!CF9,0)</f>
        <v>#REF!</v>
      </c>
      <c r="O9" t="e">
        <f>IF(Monitorios="SI",Datos!CG9,0)</f>
        <v>#REF!</v>
      </c>
      <c r="P9" t="e">
        <f>IF(Monitorios="SI",Datos!CH9,0)</f>
        <v>#REF!</v>
      </c>
      <c r="Q9">
        <f>IF(J_V="SI",0,Datos!AG9)</f>
        <v>282</v>
      </c>
      <c r="R9">
        <f>IF(J_V="SI",0,Datos!AH9)</f>
        <v>134</v>
      </c>
      <c r="S9">
        <f>IF(J_V="SI",0,Datos!AI9)</f>
        <v>118</v>
      </c>
      <c r="T9">
        <f>IF(J_V="SI",0,Datos!AJ9)</f>
        <v>298</v>
      </c>
    </row>
    <row r="10" spans="2:20" ht="14.25">
      <c r="B10" s="300" t="s">
        <v>321</v>
      </c>
      <c r="C10" s="7" t="str">
        <f>Datos!A10</f>
        <v>Jdos. Violencia contra la mujer</v>
      </c>
      <c r="D10" s="397">
        <f>IF(ISNUMBER((Datos!I10-Datos!S10)/Datos!S10),(Datos!I10-Datos!S10)/Datos!S10," - ")</f>
        <v>-0.05</v>
      </c>
      <c r="E10" s="393">
        <f>IF(ISNUMBER((Datos!J10-Datos!T10)/Datos!T10),(Datos!J10-Datos!T10)/Datos!T10," - ")</f>
        <v>0.94117647058823528</v>
      </c>
      <c r="F10" s="393">
        <f>IF(ISNUMBER((Datos!K10-Datos!U10)/Datos!U10),(Datos!K10-Datos!U10)/Datos!U10," - ")</f>
        <v>0.94444444444444442</v>
      </c>
      <c r="G10" s="394">
        <f>IF(ISNUMBER((Datos!L10-Datos!V10)/Datos!V10),(Datos!L10-Datos!V10)/Datos!V10," - ")</f>
        <v>-6.7796610169491525E-2</v>
      </c>
      <c r="H10" s="244">
        <f>IF(ISNUMBER((Datos!M10-Datos!W10)/Datos!W10),(Datos!M10-Datos!W10)/Datos!W10," - ")</f>
        <v>0.33333333333333331</v>
      </c>
      <c r="I10" s="395">
        <f>IF(ISNUMBER((Tasas!C10-Datos!BE10)/Datos!BE10),(Tasas!C10-Datos!BE10)/Datos!BE10," - ")</f>
        <v>-0.52058111380145278</v>
      </c>
      <c r="J10" s="394">
        <f>IF(ISNUMBER((Tasas!D10-Datos!BF10)/Datos!BF10),(Tasas!D10-Datos!BF10)/Datos!BF10," - ")</f>
        <v>-0.31428571428571428</v>
      </c>
      <c r="K10" s="396">
        <f>IF(ISNUMBER((Tasas!E10-Datos!BG10)/Datos!BG10),(Tasas!E10-Datos!BG10)/Datos!BG10," - ")</f>
        <v>-0.39888682745825599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0.1327188940092166</v>
      </c>
      <c r="I14" s="402">
        <f>IF(ISNUMBER((Tasas!C14-Datos!BE14)/Datos!BE14),(Tasas!C14-Datos!BE14)/Datos!BE14," - ")</f>
        <v>-0.22197031791436458</v>
      </c>
      <c r="J14" s="400">
        <f>IF(ISNUMBER((Tasas!D14-Datos!BF14)/Datos!BF14),(Tasas!D14-Datos!BF14)/Datos!BF14," - ")</f>
        <v>0.87214307724030249</v>
      </c>
      <c r="K14" s="403">
        <f>IF(ISNUMBER((Tasas!E14-Datos!BG14)/Datos!BG14),(Tasas!E14-Datos!BG14)/Datos!BG14," - ")</f>
        <v>-8.9864481459684328E-2</v>
      </c>
      <c r="M14" t="e">
        <f>IF(Monitorios="SI",Datos!CE14,0)</f>
        <v>#REF!</v>
      </c>
      <c r="N14" t="e">
        <f>IF(Monitorios="SI",Datos!CF14,0)</f>
        <v>#REF!</v>
      </c>
      <c r="O14" t="e">
        <f>IF(Monitorios="SI",Datos!CG14,0)</f>
        <v>#REF!</v>
      </c>
      <c r="P14" t="e">
        <f>IF(Monitorios="SI",Datos!CH14,0)</f>
        <v>#REF!</v>
      </c>
      <c r="Q14">
        <f>IF(J_V="SI",0,Datos!AG14)</f>
        <v>282</v>
      </c>
      <c r="R14">
        <f>IF(J_V="SI",0,Datos!AH14)</f>
        <v>134</v>
      </c>
      <c r="S14">
        <f>IF(J_V="SI",0,Datos!AI14)</f>
        <v>118</v>
      </c>
      <c r="T14">
        <f>IF(J_V="SI",0,Datos!AJ14)</f>
        <v>298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-0.11788079470198676</v>
      </c>
      <c r="E16" s="393">
        <f>IF(ISNUMBER(
   IF(D_I="SI",(Datos!J16-Datos!T16)/Datos!T16,(Datos!J16+Datos!AD16-(Datos!T16+Datos!AL16))/(Datos!T16+Datos!AL16))
     ),IF(D_I="SI",(Datos!J16-Datos!T16)/Datos!T16,(Datos!J16+Datos!AD16-(Datos!T16+Datos!AL16))/(Datos!T16+Datos!AL16))," - ")</f>
        <v>0.27764326069410816</v>
      </c>
      <c r="F16" s="393">
        <f>IF(ISNUMBER(
   IF(D_I="SI",(Datos!K16-Datos!U16)/Datos!U16,(Datos!K16+Datos!AE16-(Datos!U16+Datos!AM16))/(Datos!U16+Datos!AM16))
     ),IF(D_I="SI",(Datos!K16-Datos!U16)/Datos!U16,(Datos!K16+Datos!AE16-(Datos!U16+Datos!AM16))/(Datos!U16+Datos!AM16))," - ")</f>
        <v>0.25705568268497331</v>
      </c>
      <c r="G16" s="394">
        <f>IF(ISNUMBER(
   IF(D_I="SI",(Datos!L16-Datos!V16)/Datos!V16,(Datos!L16+Datos!AF16-(Datos!V16+Datos!AN16))/(Datos!V16+Datos!AN16))
     ),IF(D_I="SI",(Datos!L16-Datos!V16)/Datos!V16,(Datos!L16+Datos!AF16-(Datos!V16+Datos!AN16))/(Datos!V16+Datos!AN16))," - ")</f>
        <v>-0.11499272197962154</v>
      </c>
      <c r="H16" s="244">
        <f>IF(ISNUMBER((Datos!M16-Datos!W16)/Datos!W16),(Datos!M16-Datos!W16)/Datos!W16," - ")</f>
        <v>6.6985645933014357E-2</v>
      </c>
      <c r="I16" s="395">
        <f>IF(ISNUMBER((Tasas!C16-Datos!BE16)/Datos!BE16),(Tasas!C16-Datos!BE16)/Datos!BE16," - ")</f>
        <v>-0.29596811803111878</v>
      </c>
      <c r="J16" s="394">
        <f>IF(ISNUMBER((Tasas!D16-Datos!BF16)/Datos!BF16),(Tasas!D16-Datos!BF16)/Datos!BF16," - ")</f>
        <v>-0.15120255957634593</v>
      </c>
      <c r="K16" s="396">
        <f>IF(ISNUMBER((Tasas!E16-Datos!BG16)/Datos!BG16),(Tasas!E16-Datos!BG16)/Datos!BG16," - ")</f>
        <v>-0.1027576053402927</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9.5238095238095247E-3</v>
      </c>
      <c r="E18" s="393">
        <f>IF(ISNUMBER(
   IF(D_I="SI",(Datos!J18-Datos!T18)/Datos!T18,(Datos!J18+Datos!AD18-(Datos!T18+Datos!AL18))/(Datos!T18+Datos!AL18))
     ),IF(D_I="SI",(Datos!J18-Datos!T18)/Datos!T18,(Datos!J18+Datos!AD18-(Datos!T18+Datos!AL18))/(Datos!T18+Datos!AL18))," - ")</f>
        <v>0.14388489208633093</v>
      </c>
      <c r="F18" s="393">
        <f>IF(ISNUMBER(
   IF(D_I="SI",(Datos!K18-Datos!U18)/Datos!U18,(Datos!K18+Datos!AE18-(Datos!U18+Datos!AM18))/(Datos!U18+Datos!AM18))
     ),IF(D_I="SI",(Datos!K18-Datos!U18)/Datos!U18,(Datos!K18+Datos!AE18-(Datos!U18+Datos!AM18))/(Datos!U18+Datos!AM18))," - ")</f>
        <v>0.02</v>
      </c>
      <c r="G18" s="394">
        <f>IF(ISNUMBER(
   IF(D_I="SI",(Datos!L18-Datos!V18)/Datos!V18,(Datos!L18+Datos!AF18-(Datos!V18+Datos!AN18))/(Datos!V18+Datos!AN18))
     ),IF(D_I="SI",(Datos!L18-Datos!V18)/Datos!V18,(Datos!L18+Datos!AF18-(Datos!V18+Datos!AN18))/(Datos!V18+Datos!AN18))," - ")</f>
        <v>0.27659574468085107</v>
      </c>
      <c r="H18" s="244">
        <f>IF(ISNUMBER((Datos!M18-Datos!W18)/Datos!W18),(Datos!M18-Datos!W18)/Datos!W18," - ")</f>
        <v>-0.23076923076923078</v>
      </c>
      <c r="I18" s="395">
        <f>IF(ISNUMBER((Tasas!C18-Datos!BE18)/Datos!BE18),(Tasas!C18-Datos!BE18)/Datos!BE18," - ")</f>
        <v>0.25156445556946172</v>
      </c>
      <c r="J18" s="394">
        <f>IF(ISNUMBER((Tasas!D18-Datos!BF18)/Datos!BF18),(Tasas!D18-Datos!BF18)/Datos!BF18," - ")</f>
        <v>-0.2458521870286576</v>
      </c>
      <c r="K18" s="396">
        <f>IF(ISNUMBER((Tasas!E18-Datos!BG18)/Datos!BG18),(Tasas!E18-Datos!BG18)/Datos!BG18," - ")</f>
        <v>6.477017036322727E-2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-0.10336817653890824</v>
      </c>
      <c r="E23" s="399">
        <f>IF(ISNUMBER(
   IF(D_I="SI",(Datos!J23-Datos!T23)/Datos!T23,(Datos!J23+Datos!AD23-(Datos!T23+Datos!AL23))/(Datos!T23+Datos!AL23))
     ),IF(D_I="SI",(Datos!J23-Datos!T23)/Datos!T23,(Datos!J23+Datos!AD23-(Datos!T23+Datos!AL23))/(Datos!T23+Datos!AL23))," - ")</f>
        <v>0.26415094339622641</v>
      </c>
      <c r="F23" s="399">
        <f>IF(ISNUMBER(
   IF(D_I="SI",(Datos!K23-Datos!U23)/Datos!U23,(Datos!K23+Datos!AE23-(Datos!U23+Datos!AM23))/(Datos!U23+Datos!AM23))
     ),IF(D_I="SI",(Datos!K23-Datos!U23)/Datos!U23,(Datos!K23+Datos!AE23-(Datos!U23+Datos!AM23))/(Datos!U23+Datos!AM23))," - ")</f>
        <v>0.2327173169062286</v>
      </c>
      <c r="G23" s="400">
        <f>IF(ISNUMBER(
   IF(D_I="SI",(Datos!L23-Datos!V23)/Datos!V23,(Datos!L23+Datos!AF23-(Datos!V23+Datos!AN23))/(Datos!V23+Datos!AN23))
     ),IF(D_I="SI",(Datos!L23-Datos!V23)/Datos!V23,(Datos!L23+Datos!AF23-(Datos!V23+Datos!AN23))/(Datos!V23+Datos!AN23))," - ")</f>
        <v>-6.9053708439897693E-2</v>
      </c>
      <c r="H23" s="401">
        <f>IF(ISNUMBER((Datos!M23-Datos!W23)/Datos!W23),(Datos!M23-Datos!W23)/Datos!W23," - ")</f>
        <v>4.954954954954955E-2</v>
      </c>
      <c r="I23" s="402">
        <f>IF(ISNUMBER((Tasas!C23-Datos!BE23)/Datos!BE23),(Tasas!C23-Datos!BE23)/Datos!BE23," - ")</f>
        <v>-0.24480148141626357</v>
      </c>
      <c r="J23" s="400">
        <f>IF(ISNUMBER((Tasas!D23-Datos!BF23)/Datos!BF23),(Tasas!D23-Datos!BF23)/Datos!BF23," - ")</f>
        <v>-0.14858862193676189</v>
      </c>
      <c r="K23" s="403">
        <f>IF(ISNUMBER((Tasas!E23-Datos!BG23)/Datos!BG23),(Tasas!E23-Datos!BG23)/Datos!BG23," - ")</f>
        <v>-8.9148279738391484E-2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-3.224996862843519E-2</v>
      </c>
      <c r="E31" s="409">
        <f>IF(ISNUMBER(
   IF(J_V="SI",(Datos!J31-Datos!T31)/Datos!T31,(Datos!J31+Datos!Z31-(Datos!T31+Datos!AH31))/(Datos!T31+Datos!AH31))
     ),IF(J_V="SI",(Datos!J31-Datos!T31)/Datos!T31,(Datos!J31+Datos!Z31-(Datos!T31+Datos!AH31))/(Datos!T31+Datos!AH31))," - ")</f>
        <v>-6.2111801242236021E-3</v>
      </c>
      <c r="F31" s="409">
        <f>IF(ISNUMBER(
   IF(J_V="SI",(Datos!K31-Datos!U31)/Datos!U31,(Datos!K31+Datos!AA31-(Datos!U31+Datos!AI31))/(Datos!U31+Datos!AI31))
     ),IF(J_V="SI",(Datos!K31-Datos!U31)/Datos!U31,(Datos!K31+Datos!AA31-(Datos!U31+Datos!AI31))/(Datos!U31+Datos!AI31))," - ")</f>
        <v>0.11439745783427036</v>
      </c>
      <c r="G31" s="410">
        <f>IF(ISNUMBER(
   IF(J_V="SI",(Datos!L31-Datos!V31)/Datos!V31,(Datos!L31+Datos!AB31-(Datos!V31+Datos!AJ31))/(Datos!V31+Datos!AJ31))
     ),IF(J_V="SI",(Datos!L31-Datos!V31)/Datos!V31,(Datos!L31+Datos!AB31-(Datos!V31+Datos!AJ31))/(Datos!V31+Datos!AJ31))," - ")</f>
        <v>-0.17852715100421523</v>
      </c>
      <c r="H31" s="411">
        <f>IF(ISNUMBER((Datos!M31-Datos!W31)/Datos!W31),(Datos!M31-Datos!W31)/Datos!W31," - ")</f>
        <v>0.11859219586840092</v>
      </c>
      <c r="I31" s="408">
        <f>IF(ISNUMBER((Tasas!C31-Datos!BE31)/Datos!BE31),(Tasas!C31-Datos!BE31)/Datos!BE31," - ")</f>
        <v>-0.26285469944247514</v>
      </c>
      <c r="J31" s="409">
        <f>IF(ISNUMBER((Tasas!D31-Datos!BF31)/Datos!BF31),(Tasas!D31-Datos!BF31)/Datos!BF31," - ")</f>
        <v>0.54707514060928608</v>
      </c>
      <c r="K31" s="410">
        <f>IF(ISNUMBER((Tasas!E31-Datos!BG31)/Datos!BG31),(Tasas!E31-Datos!BG31)/Datos!BG31," - ")</f>
        <v>-0.12673314025099661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0.42094580645446383</v>
      </c>
      <c r="E33" s="303">
        <f t="shared" si="1"/>
        <v>0.36134598069214707</v>
      </c>
      <c r="F33" s="303">
        <f t="shared" si="1"/>
        <v>0.40163133534634088</v>
      </c>
      <c r="G33" s="304">
        <f t="shared" si="1"/>
        <v>0.47667385848407351</v>
      </c>
      <c r="H33" s="310">
        <f t="shared" si="1"/>
        <v>0.18291644589141728</v>
      </c>
      <c r="I33" s="302">
        <f t="shared" si="1"/>
        <v>0.25230531804340905</v>
      </c>
      <c r="J33" s="303">
        <f t="shared" si="1"/>
        <v>0.5691858201531278</v>
      </c>
      <c r="K33" s="304">
        <f t="shared" si="1"/>
        <v>0.15179999505382391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8/qiEwDfbE/5/KTDyL0092m9qCKntAlAcBL3vixDEm/jA0GTC6ntsdh00I26Ut154fXqKYlnZEGAxMPRFeLuQ==" saltValue="Fvr2Aavnt9yGlPnet3o+F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